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codeName="{3D1A710C-6663-3D7B-7F91-EC182F24A4BC}"/>
  <workbookPr codeName="DieseArbeitsmappe" defaultThemeVersion="166925"/>
  <mc:AlternateContent xmlns:mc="http://schemas.openxmlformats.org/markup-compatibility/2006">
    <mc:Choice Requires="x15">
      <x15ac:absPath xmlns:x15ac="http://schemas.microsoft.com/office/spreadsheetml/2010/11/ac" url="P:\8100001_PK\Daten\4-Veröffentlichungen\1-Schriftenreihen\2-Archiv (ELBA-PDF)\1-BASt-Reihen pdf\Reihe V\V403-ÖkoWin-Tool\"/>
    </mc:Choice>
  </mc:AlternateContent>
  <xr:revisionPtr revIDLastSave="0" documentId="13_ncr:1_{D7F40018-1FB6-4A99-8FCD-9C898DBB4312}" xr6:coauthVersionLast="36" xr6:coauthVersionMax="47" xr10:uidLastSave="{00000000-0000-0000-0000-000000000000}"/>
  <bookViews>
    <workbookView xWindow="-105" yWindow="-105" windowWidth="19425" windowHeight="10425" tabRatio="845" xr2:uid="{DA594350-5755-44C4-937F-AE2FEC55860A}"/>
  </bookViews>
  <sheets>
    <sheet name="Deckblatt" sheetId="1" r:id="rId1"/>
    <sheet name="Einleitung" sheetId="3" r:id="rId2"/>
    <sheet name="Eingabe Untersuchungsrahmen" sheetId="8" r:id="rId3"/>
    <sheet name="Eingabe spezifische Daten" sheetId="7" r:id="rId4"/>
    <sheet name="Ergebnisse" sheetId="10" r:id="rId5"/>
    <sheet name="Emissionsfaktoren" sheetId="6" r:id="rId6"/>
    <sheet name="Quellen" sheetId="5" r:id="rId7"/>
  </sheets>
  <functionGroups builtInGroupCount="19"/>
  <definedNames>
    <definedName name="_xlnm._FilterDatabase" localSheetId="5" hidden="1">Emissionsfaktoren!#REF!</definedName>
    <definedName name="Allgemein_Info">'Eingabe Untersuchungsrahmen'!$A$9</definedName>
    <definedName name="Auswahl_Betreuungsfaktor_Bundesautobahn">'Eingabe Untersuchungsrahmen'!$E$29</definedName>
    <definedName name="Auswahl_Betreuungsfaktor_Bundesstraßen">'Eingabe Untersuchungsrahmen'!$E$30</definedName>
    <definedName name="Auswahl_Betreuungsfaktor_Kreisstraßen">'Eingabe Untersuchungsrahmen'!$E$32</definedName>
    <definedName name="Auswahl_Betreuungsfaktor_Landesstraßen">'Eingabe Untersuchungsrahmen'!$E$31</definedName>
    <definedName name="Auswahl_Defaultwerte_Individual">Emissionsfaktoren!$K$13:$K$14</definedName>
    <definedName name="Auswahl_Kraftstoffe_Ausbringung">EF_Ausbringung[Fahrzeug (Fahrzeugtyp, zulässiges Gesamtgewicht, Abgasnorm, Kraftstoff)]</definedName>
    <definedName name="Auswahl_Lkw_pkw">Emissionsfaktoren!$C$53:$C$70</definedName>
    <definedName name="Auswahl_Strom_ja_nein">'Eingabe spezifische Daten'!$F$19</definedName>
    <definedName name="Auswahl_Wärme_ja_nein">'Eingabe spezifische Daten'!$F$20</definedName>
    <definedName name="Berechnungsprinzip">Einleitung!$A$57</definedName>
    <definedName name="Betreuungsfaktor_Bundesautobahn">Emissionsfaktoren!$D$110</definedName>
    <definedName name="Betreuungsfaktor_Bundesstraßen">Emissionsfaktoren!$D$111</definedName>
    <definedName name="Betreuungsfaktor_Kreisstraßen">Emissionsfaktoren!$D$113</definedName>
    <definedName name="Betreuungsfaktor_Landes_Staatsstraßen">Emissionsfaktoren!$D$112</definedName>
    <definedName name="Bezugsgroeße">'Eingabe Untersuchungsrahmen'!$A$19</definedName>
    <definedName name="Bilanzzeitraum">'Eingabe Untersuchungsrahmen'!$A$38</definedName>
    <definedName name="Datenqualitaet">Einleitung!$D$44:$D$46</definedName>
    <definedName name="Datenqualität_Erklärung">Einleitung!$A$41</definedName>
    <definedName name="Diagramm_Prozesse">_xlfn._xlws.FILTER(Ergebnisse!$C$77:$C$85,Ergebnisse!$D$77:$D$85&gt;0,"")</definedName>
    <definedName name="Diagramm_Werte_KEA">_xlfn._xlws.FILTER(Ergebnisse!XEW1048574:XEW6,Ergebnisse!$D$77:$D$85&gt;0,"")</definedName>
    <definedName name="_xlnm.Print_Area" localSheetId="4">Ergebnisse!$B$6:$I$223</definedName>
    <definedName name="_xlnm.Print_Area">Ergebnisse!$B$6:$H$223</definedName>
    <definedName name="EF_AP_CaCl2_Konz_Sole">Emissionsfaktoren!$F$22</definedName>
    <definedName name="EF_AP_MgCl2_Konz_Sole">Emissionsfaktoren!$F$23</definedName>
    <definedName name="EF_AP_NaCl_Konz_Sole">Emissionsfaktoren!$F$21</definedName>
    <definedName name="EF_AP_Strom">Emissionsfaktoren!$F$76</definedName>
    <definedName name="EF_AP_Waerme">Emissionsfaktoren!$F$79</definedName>
    <definedName name="EF_AP_Wasser">Emissionsfaktoren!$F$101</definedName>
    <definedName name="EF_GWP_CaCl2_Konz_Sole">Emissionsfaktoren!$E$22</definedName>
    <definedName name="EF_GWP_MgCl2_Konz_Sole">Emissionsfaktoren!$E$23</definedName>
    <definedName name="EF_GWP_NaCl_Konz_Sole">Emissionsfaktoren!$E$21</definedName>
    <definedName name="EF_GWP_Strom">Emissionsfaktoren!$E$76</definedName>
    <definedName name="EF_GWP_Waerme">Emissionsfaktoren!$E$79</definedName>
    <definedName name="EF_GWP_Wasser">Emissionsfaktoren!$E$101</definedName>
    <definedName name="EF_KEA_CaCl2_Konz_Sole">Emissionsfaktoren!$D$22</definedName>
    <definedName name="EF_KEA_MgCl2_Konz_Sole">Emissionsfaktoren!$D$23</definedName>
    <definedName name="EF_KEA_NaCl_Konz_Sole">Emissionsfaktoren!$D$21</definedName>
    <definedName name="EF_KEA_Strom">Emissionsfaktoren!$D$76</definedName>
    <definedName name="EF_KEA_Waerme">Emissionsfaktoren!$D$79</definedName>
    <definedName name="EF_KEA_Wasser">Emissionsfaktoren!$D$101</definedName>
    <definedName name="EF_ODP_CaCl2_Konz_Sole">Emissionsfaktoren!$G$22</definedName>
    <definedName name="EF_ODP_MgCl2_Konz_Sole">Emissionsfaktoren!$G$23</definedName>
    <definedName name="EF_ODP_NaCl_Konz_Sole">Emissionsfaktoren!$G$21</definedName>
    <definedName name="EF_ODP_Strom">Emissionsfaktoren!$G$76</definedName>
    <definedName name="EF_ODP_Waerme">Emissionsfaktoren!$G$79</definedName>
    <definedName name="EF_ODP_Wasser">Emissionsfaktoren!$G$101</definedName>
    <definedName name="EF_PM_CaCl2_Konz_Sole">Emissionsfaktoren!#REF!</definedName>
    <definedName name="EF_PM_MgCl2_Konz_Sole">Emissionsfaktoren!#REF!</definedName>
    <definedName name="EF_PM_NaCl_Konz_Sole">Emissionsfaktoren!#REF!</definedName>
    <definedName name="EF_PM_Strom">Emissionsfaktoren!#REF!</definedName>
    <definedName name="EF_PM_Waerme">Emissionsfaktoren!#REF!</definedName>
    <definedName name="EF_PM_Wasser">Emissionsfaktoren!#REF!</definedName>
    <definedName name="EF_POCP_CaCl2_Konz_Sole">Emissionsfaktoren!$H$22</definedName>
    <definedName name="EF_POCP_MgCl2_Konz_Sole">Emissionsfaktoren!$H$23</definedName>
    <definedName name="EF_POCP_NaCl_Konz_Sole">Emissionsfaktoren!$H$21</definedName>
    <definedName name="EF_POCP_Strom">Emissionsfaktoren!$H$76</definedName>
    <definedName name="EF_POCP_Waerme">Emissionsfaktoren!$H$79</definedName>
    <definedName name="EF_POCP_Wasser">Emissionsfaktoren!$H$101</definedName>
    <definedName name="Ein_ausblend_Waerme_EigenE">Ergebnisse!$B$147:$H$155</definedName>
    <definedName name="Eingabe_Beladung_Dieselverbrauch">'Eingabe spezifische Daten'!$F$28</definedName>
    <definedName name="Eingabe_für_eigene_Stromerzeugung">'Eingabe spezifische Daten'!$E$31:$K$34</definedName>
    <definedName name="Eingabe_für_eigene_Wärmebereitstellung">'Eingabe spezifische Daten'!$E$36:$K$44</definedName>
    <definedName name="Eingabe_Leitungswasser">'Eingabe spezifische Daten'!$F$25</definedName>
    <definedName name="Eingabe_Oel">'Eingabe spezifische Daten'!$F$27</definedName>
    <definedName name="Eingabe_Regenwasser">'Eingabe spezifische Daten'!$F$26</definedName>
    <definedName name="Eingabe_Strom_aus_eigener_Stromerzeugung">'Eingabe spezifische Daten'!#REF!</definedName>
    <definedName name="Eingabe_Strom_stromnetz">'Eingabe spezifische Daten'!$F$23</definedName>
    <definedName name="Eingabe_Waermemix">'Eingabe spezifische Daten'!$F$24</definedName>
    <definedName name="Eingabe_Wärme_aus_eigener_Wärmebereitstellung">'Eingabe spezifische Daten'!#REF!</definedName>
    <definedName name="Ergebnis_eigene_Stromerzeugung">Ergebnisse!$C$68</definedName>
    <definedName name="Ergebnis_eigene_Stromerzeugung_Prozent">Ergebnisse!$C$81</definedName>
    <definedName name="Ergebnis_eigene_Wärmeerzeugung">Ergebnisse!$C$70</definedName>
    <definedName name="Ergebnis_eigene_Wärmeerzeugung_Prozent">Ergebnisse!$C$83</definedName>
    <definedName name="Ergebnis_WD_Info_Besonderheiten_Verkehr">Ergebnisse!$D$26</definedName>
    <definedName name="Ergebnis_WD_Info_Besonderheiten_WD">Ergebnisse!$D$18</definedName>
    <definedName name="Ergebnis_WD_Info_Eis">Ergebnisse!$D$23</definedName>
    <definedName name="Ergebnis_WD_Info_P_K_Maßnahmen">Ergebnisse!$D$16</definedName>
    <definedName name="Ergebnis_WD_Info_Salz">Ergebnisse!$D$15</definedName>
    <definedName name="Ergebnis_WD_Info_Schnee">Ergebnisse!$D$22</definedName>
    <definedName name="Ergebnis_WD_Info_Technik">Ergebnisse!$D$17</definedName>
    <definedName name="Ergebnis_WD_Info_Wetter">Ergebnisse!$D$25</definedName>
    <definedName name="FU_bSF">Streuflaeche[[#Totals],[Bewertete Streufläche bSF  '[m²'] ]]</definedName>
    <definedName name="Konzentration_CaCl2_konz_Fremdsole">Emissionsfaktoren!$D$27</definedName>
    <definedName name="Konzentration_MgCl2_konz_Fremdsole">Emissionsfaktoren!$D$28</definedName>
    <definedName name="Konzentration_NaCl_konz_Fremdsole">Emissionsfaktoren!$D$26</definedName>
    <definedName name="Legende">Einleitung!$A$61</definedName>
    <definedName name="Result_AP_Antransport">Result_Antransport[[#Totals],[Versauerungspotenzial
(mol H+-Äq/ funktionelle Einheit)]]</definedName>
    <definedName name="Result_AP_Sole_Herstellung">Result_Sole[[#Totals],[Versauerungspotenzial
(mol H+-Äq/ funktionelle Einheit)]]</definedName>
    <definedName name="Result_AP_Trockensalz_Herstellung">Result_Trockensalz[[#Totals],[Versauerungspotenzial
(mol H+-Äq/ funktionelle Einheit)]]</definedName>
    <definedName name="Result_AP_Waerme_EigenE">Result_Eigen_Wärmebereitstellung[[#Totals],[Versauerungspotenzial
(mol H+-Äq/ funktionelle Einheit)]]</definedName>
    <definedName name="Result_Ausbringung_AP">Result_Ausbringung[[#Totals],[Versauerungspotenzial
(mol H+-Äq/ funktionelle Einheit)]]</definedName>
    <definedName name="Result_Ausbringung_GWP">Result_Ausbringung[[#Totals],[Treibhauspotenzial 
(kg CO2-Äq / funktionelle Einheit)]]</definedName>
    <definedName name="Result_Ausbringung_KEA">Result_Ausbringung[[#Totals],[Kumulierter Energie Aufwand
(MJ / funktionelle Einheit)]]</definedName>
    <definedName name="Result_Ausbringung_ODP">Result_Ausbringung[[#Totals],[Ozonabbaupotenzial
(kg CFC11-Äq / funktionelle Einheit)]]</definedName>
    <definedName name="Result_Ausbringung_PM">#REF!</definedName>
    <definedName name="Result_Ausbringung_POCP">Result_Ausbringung[[#Totals],[Photooxidantienpotenzial 
(kg NMVOC-Äq / funktionelle Einheit)]]</definedName>
    <definedName name="Result_GWP_Antransport">Result_Antransport[[#Totals],[Treibhauspotenzial 
(kg CO2-Äq / funktionelle Einheit)]]</definedName>
    <definedName name="Result_GWP_Sole_Herstellung">Result_Sole[[#Totals],[Treibhauspotenzial 
(kg CO2-Äq / funktionelle Einheit)]]</definedName>
    <definedName name="Result_GWP_Trockensalz_Herstellung">Result_Trockensalz[[#Totals],[Treibhauspotenzial 
(kg CO2-Äq / funktionelle Einheit)]]</definedName>
    <definedName name="Result_GWP_Waerme_EigenE">Result_Eigen_Wärmebereitstellung[[#Totals],[Treibhauspotenzial 
(kg CO2-Äq / funktionelle Einheit)]]</definedName>
    <definedName name="Result_KEA_Antransport">Result_Antransport[[#Totals],[Kumulierter Energie Aufwand
(MJ / funktionelle Einheit)]]</definedName>
    <definedName name="Result_KEA_Sole_Herstellung">Result_Sole[[#Totals],[Kumulierter Energie Aufwand
(MJ / funktionelle Einheit)]]</definedName>
    <definedName name="Result_KEA_Trockensalz_Herstellung">Result_Trockensalz[[#Totals],[Kumulierter Energie Aufwand
(MJ / funktionelle Einheit)]]</definedName>
    <definedName name="Result_KEA_Waerme_EigenE">Result_Eigen_Wärmebereitstellung[[#Totals],[Kumulierter Energie Aufwand
(MJ / funktionelle Einheit)]]</definedName>
    <definedName name="Result_ODP_Antransport">Result_Antransport[[#Totals],[Ozonabbaupotenzial
(kg CFC11-Äq / funktionelle Einheit)]]</definedName>
    <definedName name="Result_ODP_Sole_Herstellung">Result_Sole[[#Totals],[Ozonabbaupotenzial
(kg CFC11-Äq / funktionelle Einheit)]]</definedName>
    <definedName name="Result_ODP_Trockensalz_Herstellung">Result_Trockensalz[[#Totals],[Ozonabbaupotenzial
(kg CFC11-Äq / funktionelle Einheit]]</definedName>
    <definedName name="Result_ODP_Waerme_EigenE">Result_Eigen_Wärmebereitstellung[[#Totals],[Ozonabbaupotenzial
(kg CFC11-Äq / funktionelle Einheit)]]</definedName>
    <definedName name="Result_PM_Antransport">#REF!</definedName>
    <definedName name="Result_PM_Sole_Herstellung">#REF!</definedName>
    <definedName name="Result_PM_Trockensalz_Herstellung">#REF!</definedName>
    <definedName name="Result_PM_Waerme_EigenE">#REF!</definedName>
    <definedName name="Result_POCP_Antransport">Result_Antransport[[#Totals],[Photooxidantienpotenzial 
(kg NMVOC-Äq / funktionelle Einheit)]]</definedName>
    <definedName name="Result_POCP_Sole_Herstellung">Result_Sole[[#Totals],[Photooxidantienpotenzial 
(kg NMVOC-Äq / funktionelle Einheit)]]</definedName>
    <definedName name="Result_POCP_Trockensalz_Herstellung">Result_Trockensalz[[#Totals],[Photooxidantienpotenzial 
(kg NMVOC-Äq / funktionelle Einheit)]]</definedName>
    <definedName name="Result_POCP_Waerme_EigenE">Result_Eigen_Wärmebereitstellung[[#Totals],[Photooxidantienpotenzial 
(kg NMVOC-Äq / funktionelle Einheit)]]</definedName>
    <definedName name="ScrollToAbbildung">Ergebnisse!$A$163</definedName>
    <definedName name="ScrollToAntransport">'Eingabe spezifische Daten'!$A$102</definedName>
    <definedName name="ScrollToAusbringungen">'Eingabe spezifische Daten'!$A$46</definedName>
    <definedName name="ScrollToBeitrag">Ergebnisse!$A$54</definedName>
    <definedName name="ScrollToEnergie">Emissionsfaktoren!$A$72</definedName>
    <definedName name="ScrollToGesamtErgebnis">Ergebnisse!$A$28</definedName>
    <definedName name="ScrollToKraftstoffe">Emissionsfaktoren!$A$48</definedName>
    <definedName name="scrollToProzesseInMeisterei">'Eingabe spezifische Daten'!$A$14</definedName>
    <definedName name="ScrollToReport">Ergebnisse!$A$224</definedName>
    <definedName name="ScrollToSonstig">Emissionsfaktoren!$A$106</definedName>
    <definedName name="ScrollToStreumittelHerstellung">Emissionsfaktoren!$A$8</definedName>
    <definedName name="ScrollToStreumittelTransport">Emissionsfaktoren!$A$31</definedName>
    <definedName name="ScrollToWasser">Emissionsfaktoren!$A$97</definedName>
    <definedName name="Struktur">Einleitung!$A$14</definedName>
    <definedName name="Systemgrenze">Einleitung!$A$23</definedName>
    <definedName name="Transportmittel_AntransportStreumittel">Emissionsfaktoren!$C$35:$C$46</definedName>
    <definedName name="Umweltauswirkungen">Einleitung!$A$48</definedName>
    <definedName name="WD_Info">'Eingabe Untersuchungsrahmen'!$A$46</definedName>
    <definedName name="WD_Info_Besonderheiten_Verkehr">'Eingabe Untersuchungsrahmen'!$E$63</definedName>
    <definedName name="WD_Info_Besonderheiten_WD">'Eingabe Untersuchungsrahmen'!$E$55</definedName>
    <definedName name="WD_Info_Eis">'Eingabe Untersuchungsrahmen'!$E$60</definedName>
    <definedName name="WD_Info_Glatt">'Eingabe Untersuchungsrahmen'!$E$61</definedName>
    <definedName name="WD_info_interne_Transport_Umschlag">'Eingabe Untersuchungsrahmen'!$E$56</definedName>
    <definedName name="WD_Info_P_K_Maßnahmen">'Eingabe Untersuchungsrahmen'!$E$53</definedName>
    <definedName name="WD_Info_Salz">'Eingabe Untersuchungsrahmen'!$E$52</definedName>
    <definedName name="WD_Info_Schnee">'Eingabe Untersuchungsrahmen'!$E$59</definedName>
    <definedName name="WD_Info_Technik">'Eingabe Untersuchungsrahmen'!$E$54</definedName>
    <definedName name="WD_Info_Wetter">'Eingabe Untersuchungsrahmen'!$E$62</definedName>
    <definedName name="Ziel">Einleitung!$A$6</definedName>
    <definedName name="Zielgruppe">Einleitung!$A$11</definedName>
    <definedName name="Zustand_Fremdsole">Emissionsfaktoren!$K$11:$K$12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0" l="1"/>
  <c r="E21" i="6" l="1"/>
  <c r="E19" i="6"/>
  <c r="H104" i="10" l="1"/>
  <c r="H102" i="10"/>
  <c r="H100" i="10"/>
  <c r="G104" i="10"/>
  <c r="G102" i="10"/>
  <c r="G100" i="10"/>
  <c r="F104" i="10"/>
  <c r="F102" i="10"/>
  <c r="F100" i="10"/>
  <c r="E104" i="10"/>
  <c r="E102" i="10"/>
  <c r="D104" i="10"/>
  <c r="D102" i="10"/>
  <c r="D100" i="10"/>
  <c r="L70" i="7" a="1"/>
  <c r="L70" i="7" s="1"/>
  <c r="L71" i="7" a="1"/>
  <c r="L71" i="7" s="1"/>
  <c r="L72" i="7" a="1"/>
  <c r="L72" i="7" s="1"/>
  <c r="L73" i="7" a="1"/>
  <c r="L73" i="7" s="1"/>
  <c r="L74" i="7" a="1"/>
  <c r="L74" i="7" s="1"/>
  <c r="L75" i="7" a="1"/>
  <c r="L75" i="7" s="1"/>
  <c r="L76" i="7" a="1"/>
  <c r="L76" i="7" s="1"/>
  <c r="L77" i="7" a="1"/>
  <c r="L77" i="7" s="1"/>
  <c r="L78" i="7" a="1"/>
  <c r="L78" i="7" s="1"/>
  <c r="L79" i="7" a="1"/>
  <c r="L79" i="7" s="1"/>
  <c r="L69" i="7" a="1"/>
  <c r="L69" i="7" s="1"/>
  <c r="D21" i="6" l="1"/>
  <c r="H21" i="6" l="1"/>
  <c r="G21" i="6"/>
  <c r="F21" i="6"/>
  <c r="D101" i="10"/>
  <c r="D68" i="10" l="1" a="1"/>
  <c r="D68" i="10" s="1"/>
  <c r="G142" i="10" l="1" a="1"/>
  <c r="G142" i="10" s="1"/>
  <c r="D134" i="10" l="1" a="1"/>
  <c r="D134" i="10" s="1"/>
  <c r="E134" i="10" a="1"/>
  <c r="E134" i="10" s="1"/>
  <c r="F134" i="10" a="1"/>
  <c r="F134" i="10" s="1"/>
  <c r="G134" i="10" a="1"/>
  <c r="G134" i="10" s="1"/>
  <c r="H134" i="10" a="1"/>
  <c r="H134" i="10" s="1"/>
  <c r="D135" i="10" a="1"/>
  <c r="D135" i="10" s="1"/>
  <c r="E135" i="10" a="1"/>
  <c r="E135" i="10" s="1"/>
  <c r="F135" i="10" a="1"/>
  <c r="F135" i="10" s="1"/>
  <c r="G135" i="10" a="1"/>
  <c r="G135" i="10" s="1"/>
  <c r="H135" i="10" a="1"/>
  <c r="H135" i="10" s="1"/>
  <c r="D136" i="10" a="1"/>
  <c r="D136" i="10" s="1"/>
  <c r="E136" i="10" a="1"/>
  <c r="E136" i="10" s="1"/>
  <c r="F136" i="10" a="1"/>
  <c r="F136" i="10" s="1"/>
  <c r="G136" i="10" a="1"/>
  <c r="G136" i="10" s="1"/>
  <c r="H136" i="10" a="1"/>
  <c r="H136" i="10" s="1"/>
  <c r="D137" i="10" a="1"/>
  <c r="D137" i="10" s="1"/>
  <c r="E137" i="10" a="1"/>
  <c r="E137" i="10" s="1"/>
  <c r="F137" i="10" a="1"/>
  <c r="F137" i="10" s="1"/>
  <c r="G137" i="10" a="1"/>
  <c r="G137" i="10" s="1"/>
  <c r="H137" i="10" a="1"/>
  <c r="H137" i="10" s="1"/>
  <c r="C22" i="10"/>
  <c r="D19" i="10"/>
  <c r="C19" i="10"/>
  <c r="D24" i="10" l="1"/>
  <c r="C24" i="10"/>
  <c r="G138" i="10" l="1" a="1"/>
  <c r="G138" i="10" s="1"/>
  <c r="H66" i="6"/>
  <c r="G139" i="10" s="1" a="1"/>
  <c r="G139" i="10" s="1"/>
  <c r="D19" i="6" l="1"/>
  <c r="F66" i="6" l="1"/>
  <c r="G66" i="6"/>
  <c r="I66" i="6"/>
  <c r="E66" i="6"/>
  <c r="D152" i="10" l="1"/>
  <c r="E131" i="10" l="1" a="1"/>
  <c r="E131" i="10" s="1"/>
  <c r="D26" i="10"/>
  <c r="D25" i="10"/>
  <c r="D23" i="10"/>
  <c r="D22" i="10"/>
  <c r="D18" i="10"/>
  <c r="D17" i="10"/>
  <c r="D16" i="10"/>
  <c r="C15" i="10" l="1"/>
  <c r="C23" i="10"/>
  <c r="C25" i="10"/>
  <c r="C26" i="10"/>
  <c r="C16" i="10"/>
  <c r="C17" i="10"/>
  <c r="C18" i="10"/>
  <c r="D11" i="10"/>
  <c r="D10" i="10"/>
  <c r="D9" i="10"/>
  <c r="D8" i="10"/>
  <c r="D7" i="10"/>
  <c r="G119" i="10" l="1"/>
  <c r="G118" i="10"/>
  <c r="E142" i="10" a="1"/>
  <c r="E142" i="10" s="1"/>
  <c r="D141" i="10" a="1"/>
  <c r="D141" i="10" s="1"/>
  <c r="D143" i="10" a="1"/>
  <c r="D143" i="10" s="1"/>
  <c r="E143" i="10" a="1"/>
  <c r="E143" i="10" s="1"/>
  <c r="F143" i="10" a="1"/>
  <c r="F143" i="10" s="1"/>
  <c r="G143" i="10" a="1"/>
  <c r="G143" i="10" s="1"/>
  <c r="H143" i="10" a="1"/>
  <c r="H143" i="10" s="1"/>
  <c r="K116" i="7" l="1"/>
  <c r="G116" i="10" s="1"/>
  <c r="C84" i="10"/>
  <c r="C83" i="10"/>
  <c r="E151" i="10" l="1"/>
  <c r="F151" i="10"/>
  <c r="G151" i="10"/>
  <c r="H151" i="10"/>
  <c r="D151" i="10"/>
  <c r="D150" i="10"/>
  <c r="D140" i="10" l="1" a="1"/>
  <c r="D140" i="10" s="1"/>
  <c r="E140" i="10" a="1"/>
  <c r="E140" i="10" s="1"/>
  <c r="F140" i="10" a="1"/>
  <c r="F140" i="10" s="1"/>
  <c r="G140" i="10" a="1"/>
  <c r="G140" i="10" s="1"/>
  <c r="H140" i="10" a="1"/>
  <c r="H140" i="10" s="1"/>
  <c r="E141" i="10" a="1"/>
  <c r="E141" i="10" s="1"/>
  <c r="F141" i="10" a="1"/>
  <c r="F141" i="10" s="1"/>
  <c r="G141" i="10" a="1"/>
  <c r="G141" i="10" s="1"/>
  <c r="H141" i="10" a="1"/>
  <c r="H141" i="10" s="1"/>
  <c r="D142" i="10" a="1"/>
  <c r="D142" i="10" s="1"/>
  <c r="F142" i="10" a="1"/>
  <c r="F142" i="10" s="1"/>
  <c r="H142" i="10" a="1"/>
  <c r="H142" i="10" s="1"/>
  <c r="D148" i="10" l="1"/>
  <c r="C21" i="10" l="1"/>
  <c r="C14" i="10"/>
  <c r="G68" i="10" a="1"/>
  <c r="G68" i="10" s="1"/>
  <c r="E133" i="10" l="1" a="1"/>
  <c r="E133" i="10" s="1"/>
  <c r="D105" i="10"/>
  <c r="K117" i="7"/>
  <c r="D113" i="10" s="1"/>
  <c r="K118" i="7"/>
  <c r="D110" i="10" s="1"/>
  <c r="K119" i="7"/>
  <c r="K120" i="7"/>
  <c r="K121" i="7"/>
  <c r="K122" i="7"/>
  <c r="K123" i="7"/>
  <c r="K124" i="7"/>
  <c r="K125" i="7"/>
  <c r="K126" i="7"/>
  <c r="D103" i="10" l="1"/>
  <c r="D6" i="10" l="1"/>
  <c r="D91" i="10" l="1"/>
  <c r="D48" i="10" a="1"/>
  <c r="D49" i="10" a="1"/>
  <c r="D50" i="10" a="1"/>
  <c r="D49" i="10" l="1"/>
  <c r="D50" i="10"/>
  <c r="D48" i="10"/>
  <c r="C88" i="10" l="1"/>
  <c r="C77" i="10"/>
  <c r="D159" i="10"/>
  <c r="D71" i="10"/>
  <c r="E105" i="10" l="1"/>
  <c r="H105" i="10"/>
  <c r="G105" i="10"/>
  <c r="F105" i="10"/>
  <c r="H103" i="10"/>
  <c r="G103" i="10"/>
  <c r="F103" i="10"/>
  <c r="E103" i="10"/>
  <c r="D72" i="10"/>
  <c r="H92" i="10"/>
  <c r="H93" i="10"/>
  <c r="H94" i="10"/>
  <c r="H95" i="10"/>
  <c r="H91" i="10"/>
  <c r="G92" i="10"/>
  <c r="G93" i="10"/>
  <c r="G94" i="10"/>
  <c r="G95" i="10"/>
  <c r="G91" i="10"/>
  <c r="F92" i="10"/>
  <c r="F93" i="10"/>
  <c r="F94" i="10"/>
  <c r="F95" i="10"/>
  <c r="F91" i="10"/>
  <c r="E92" i="10"/>
  <c r="E93" i="10"/>
  <c r="E94" i="10"/>
  <c r="E95" i="10"/>
  <c r="E91" i="10"/>
  <c r="F63" i="7"/>
  <c r="D92" i="10"/>
  <c r="D93" i="10"/>
  <c r="D94" i="10"/>
  <c r="D95" i="10"/>
  <c r="H127" i="10" l="1" a="1"/>
  <c r="H127" i="10" s="1"/>
  <c r="H128" i="10" a="1"/>
  <c r="H128" i="10" s="1"/>
  <c r="H129" i="10" a="1"/>
  <c r="H129" i="10" s="1"/>
  <c r="H130" i="10" a="1"/>
  <c r="H130" i="10" s="1"/>
  <c r="H131" i="10" a="1"/>
  <c r="H131" i="10" s="1"/>
  <c r="H132" i="10" a="1"/>
  <c r="H132" i="10" s="1"/>
  <c r="H133" i="10" a="1"/>
  <c r="H133" i="10" s="1"/>
  <c r="H138" i="10" a="1"/>
  <c r="H138" i="10" s="1"/>
  <c r="H139" i="10" a="1"/>
  <c r="H139" i="10" s="1"/>
  <c r="H126" i="10" a="1"/>
  <c r="H126" i="10" s="1"/>
  <c r="G127" i="10" a="1"/>
  <c r="G127" i="10" s="1"/>
  <c r="G128" i="10" a="1"/>
  <c r="G128" i="10" s="1"/>
  <c r="G129" i="10" a="1"/>
  <c r="G129" i="10" s="1"/>
  <c r="G130" i="10" a="1"/>
  <c r="G130" i="10" s="1"/>
  <c r="G131" i="10" a="1"/>
  <c r="G131" i="10" s="1"/>
  <c r="G132" i="10" a="1"/>
  <c r="G132" i="10" s="1"/>
  <c r="G133" i="10" a="1"/>
  <c r="G133" i="10" s="1"/>
  <c r="G126" i="10" a="1"/>
  <c r="G126" i="10" s="1"/>
  <c r="E139" i="10" a="1"/>
  <c r="E139" i="10" s="1"/>
  <c r="E138" i="10" a="1"/>
  <c r="E138" i="10" s="1"/>
  <c r="E132" i="10" a="1"/>
  <c r="E132" i="10" s="1"/>
  <c r="E130" i="10" a="1"/>
  <c r="E130" i="10" s="1"/>
  <c r="E129" i="10" a="1"/>
  <c r="E129" i="10" s="1"/>
  <c r="E128" i="10" a="1"/>
  <c r="E128" i="10" s="1"/>
  <c r="E127" i="10" a="1"/>
  <c r="E127" i="10" s="1"/>
  <c r="E126" i="10" a="1"/>
  <c r="E126" i="10" s="1"/>
  <c r="D126" i="10" a="1"/>
  <c r="D126" i="10" s="1"/>
  <c r="F127" i="10" a="1"/>
  <c r="F127" i="10" s="1"/>
  <c r="F128" i="10" a="1"/>
  <c r="F128" i="10" s="1"/>
  <c r="F129" i="10" a="1"/>
  <c r="F129" i="10" s="1"/>
  <c r="F130" i="10" a="1"/>
  <c r="F130" i="10" s="1"/>
  <c r="F131" i="10" a="1"/>
  <c r="F131" i="10" s="1"/>
  <c r="F132" i="10" a="1"/>
  <c r="F132" i="10" s="1"/>
  <c r="F133" i="10" a="1"/>
  <c r="F133" i="10" s="1"/>
  <c r="F138" i="10" a="1"/>
  <c r="F138" i="10" s="1"/>
  <c r="F139" i="10" a="1"/>
  <c r="F139" i="10" s="1"/>
  <c r="F126" i="10" a="1"/>
  <c r="F126" i="10" s="1"/>
  <c r="D127" i="10" a="1"/>
  <c r="D127" i="10" s="1"/>
  <c r="D128" i="10" a="1"/>
  <c r="D128" i="10" s="1"/>
  <c r="D129" i="10" a="1"/>
  <c r="D129" i="10" s="1"/>
  <c r="D130" i="10" a="1"/>
  <c r="D130" i="10" s="1"/>
  <c r="D131" i="10" a="1"/>
  <c r="D131" i="10" s="1"/>
  <c r="D132" i="10" a="1"/>
  <c r="D132" i="10" s="1"/>
  <c r="D133" i="10" a="1"/>
  <c r="D133" i="10" s="1"/>
  <c r="D138" i="10" a="1"/>
  <c r="D138" i="10" s="1"/>
  <c r="D139" i="10" a="1"/>
  <c r="D139" i="10" s="1"/>
  <c r="H120" i="10"/>
  <c r="H119" i="10"/>
  <c r="H118" i="10"/>
  <c r="H117" i="10"/>
  <c r="H115" i="10"/>
  <c r="G120" i="10"/>
  <c r="G117" i="10"/>
  <c r="G115" i="10"/>
  <c r="F120" i="10"/>
  <c r="F119" i="10"/>
  <c r="F117" i="10"/>
  <c r="F115" i="10"/>
  <c r="E120" i="10"/>
  <c r="E119" i="10"/>
  <c r="E118" i="10"/>
  <c r="E117" i="10"/>
  <c r="E115" i="10"/>
  <c r="D115" i="10"/>
  <c r="D117" i="10"/>
  <c r="D118" i="10"/>
  <c r="D119" i="10"/>
  <c r="D120" i="10"/>
  <c r="F121" i="10"/>
  <c r="H116" i="10"/>
  <c r="H19" i="6"/>
  <c r="G19" i="6"/>
  <c r="F19" i="6"/>
  <c r="E100" i="10"/>
  <c r="D158" i="10"/>
  <c r="H68" i="10" a="1"/>
  <c r="H68" i="10" s="1"/>
  <c r="F68" i="10" a="1"/>
  <c r="F68" i="10" s="1"/>
  <c r="E68" i="10" a="1"/>
  <c r="E68" i="10" s="1"/>
  <c r="E153" i="10"/>
  <c r="F153" i="10"/>
  <c r="G153" i="10"/>
  <c r="H153" i="10"/>
  <c r="D153" i="10"/>
  <c r="E152" i="10"/>
  <c r="F152" i="10"/>
  <c r="G152" i="10"/>
  <c r="H152" i="10"/>
  <c r="E150" i="10"/>
  <c r="F150" i="10"/>
  <c r="G150" i="10"/>
  <c r="H150" i="10"/>
  <c r="E149" i="10"/>
  <c r="F149" i="10"/>
  <c r="G149" i="10"/>
  <c r="H149" i="10"/>
  <c r="D149" i="10"/>
  <c r="E148" i="10"/>
  <c r="F148" i="10"/>
  <c r="G148" i="10"/>
  <c r="H148" i="10"/>
  <c r="C146" i="10"/>
  <c r="G101" i="10" l="1"/>
  <c r="F101" i="10"/>
  <c r="H101" i="10"/>
  <c r="E101" i="10"/>
  <c r="D116" i="10"/>
  <c r="F116" i="10"/>
  <c r="E116" i="10"/>
  <c r="F118" i="10"/>
  <c r="E110" i="10"/>
  <c r="F110" i="10"/>
  <c r="E113" i="10"/>
  <c r="F113" i="10"/>
  <c r="G113" i="10"/>
  <c r="H113" i="10"/>
  <c r="G110" i="10"/>
  <c r="H110" i="10"/>
  <c r="D121" i="10"/>
  <c r="E121" i="10"/>
  <c r="H121" i="10"/>
  <c r="G121" i="10"/>
  <c r="D114" i="10"/>
  <c r="E114" i="10"/>
  <c r="F114" i="10"/>
  <c r="G114" i="10"/>
  <c r="H114" i="10"/>
  <c r="F112" i="10"/>
  <c r="G112" i="10"/>
  <c r="D112" i="10"/>
  <c r="H112" i="10"/>
  <c r="E112" i="10"/>
  <c r="D111" i="10"/>
  <c r="E111" i="10"/>
  <c r="F111" i="10"/>
  <c r="G111" i="10"/>
  <c r="H111" i="10"/>
  <c r="D160" i="10"/>
  <c r="E160" i="10" s="1"/>
  <c r="E154" i="10"/>
  <c r="E70" i="10" s="1" a="1"/>
  <c r="E70" i="10" s="1"/>
  <c r="H154" i="10"/>
  <c r="H70" i="10" s="1" a="1"/>
  <c r="H70" i="10" s="1"/>
  <c r="G154" i="10"/>
  <c r="G70" i="10" s="1" a="1"/>
  <c r="G70" i="10" s="1"/>
  <c r="D154" i="10"/>
  <c r="D70" i="10" s="1" a="1"/>
  <c r="D70" i="10" s="1"/>
  <c r="F154" i="10"/>
  <c r="F70" i="10" s="1" a="1"/>
  <c r="F70" i="10" s="1"/>
  <c r="E159" i="10" l="1"/>
  <c r="E158" i="10"/>
  <c r="C124" i="10" l="1"/>
  <c r="E122" i="10" l="1"/>
  <c r="E65" i="10" s="1" a="1"/>
  <c r="E65" i="10" s="1"/>
  <c r="F122" i="10"/>
  <c r="F65" i="10" s="1" a="1"/>
  <c r="F65" i="10" s="1"/>
  <c r="G122" i="10"/>
  <c r="G65" i="10" s="1" a="1"/>
  <c r="G65" i="10" s="1"/>
  <c r="H122" i="10"/>
  <c r="H65" i="10" s="1" a="1"/>
  <c r="H65" i="10" s="1"/>
  <c r="C108" i="10"/>
  <c r="I128" i="7"/>
  <c r="H72" i="10"/>
  <c r="G72" i="10"/>
  <c r="F72" i="10"/>
  <c r="E72" i="10"/>
  <c r="H71" i="10"/>
  <c r="G71" i="10"/>
  <c r="F71" i="10"/>
  <c r="E71" i="10"/>
  <c r="D122" i="10" l="1"/>
  <c r="D65" i="10" s="1" a="1"/>
  <c r="D65" i="10" s="1"/>
  <c r="H69" i="10" l="1"/>
  <c r="G69" i="10"/>
  <c r="F69" i="10"/>
  <c r="E69" i="10"/>
  <c r="D69" i="10"/>
  <c r="G80" i="7" l="1"/>
  <c r="H67" i="10" l="1"/>
  <c r="G67" i="10"/>
  <c r="F67" i="10"/>
  <c r="E67" i="10"/>
  <c r="D67" i="10"/>
  <c r="C85" i="10" l="1"/>
  <c r="D96" i="10" l="1"/>
  <c r="D106" i="10"/>
  <c r="F96" i="10"/>
  <c r="E106" i="10"/>
  <c r="G106" i="10"/>
  <c r="H106" i="10"/>
  <c r="F106" i="10"/>
  <c r="G96" i="10"/>
  <c r="E96" i="10"/>
  <c r="H96" i="10"/>
  <c r="D64" i="10" l="1" a="1"/>
  <c r="D64" i="10" s="1"/>
  <c r="H64" i="10" a="1"/>
  <c r="H64" i="10" s="1"/>
  <c r="F64" i="10" a="1"/>
  <c r="F64" i="10" s="1"/>
  <c r="G64" i="10" a="1"/>
  <c r="G64" i="10" s="1"/>
  <c r="E64" i="10" a="1"/>
  <c r="E64" i="10" s="1"/>
  <c r="G29" i="8" l="1"/>
  <c r="D51" i="10" l="1"/>
  <c r="E48" i="10" l="1"/>
  <c r="E51" i="10"/>
  <c r="E49" i="10"/>
  <c r="E50" i="10"/>
  <c r="C81" i="10"/>
  <c r="G30" i="8" l="1"/>
  <c r="G31" i="8"/>
  <c r="G32" i="8"/>
  <c r="G33" i="8" l="1"/>
  <c r="G61" i="7" l="1"/>
  <c r="H77" i="7"/>
  <c r="G60" i="7"/>
  <c r="H78" i="7"/>
  <c r="G62" i="7"/>
  <c r="C35" i="8"/>
  <c r="G92" i="7"/>
  <c r="G88" i="7"/>
  <c r="G93" i="7"/>
  <c r="G94" i="7"/>
  <c r="G97" i="7"/>
  <c r="G95" i="7"/>
  <c r="G96" i="7"/>
  <c r="G98" i="7"/>
  <c r="G89" i="7"/>
  <c r="G90" i="7"/>
  <c r="G91" i="7"/>
  <c r="C35" i="10"/>
  <c r="D12" i="10"/>
  <c r="G41" i="7"/>
  <c r="H80" i="7"/>
  <c r="G40" i="7"/>
  <c r="G63" i="7"/>
  <c r="G38" i="7"/>
  <c r="H79" i="7"/>
  <c r="G43" i="7"/>
  <c r="G33" i="7"/>
  <c r="G27" i="7"/>
  <c r="G59" i="7"/>
  <c r="G42" i="7"/>
  <c r="G26" i="7"/>
  <c r="G25" i="7"/>
  <c r="G39" i="7"/>
  <c r="H76" i="7"/>
  <c r="H73" i="7"/>
  <c r="H74" i="7"/>
  <c r="H75" i="7"/>
  <c r="H72" i="7"/>
  <c r="H71" i="7"/>
  <c r="G56" i="7"/>
  <c r="G57" i="7"/>
  <c r="H70" i="7"/>
  <c r="G55" i="7"/>
  <c r="H69" i="7"/>
  <c r="G58" i="7"/>
  <c r="G23" i="7"/>
  <c r="G24" i="7"/>
  <c r="G28" i="7"/>
  <c r="C78" i="10" l="1"/>
  <c r="C79" i="10"/>
  <c r="C80" i="10"/>
  <c r="C82" i="10"/>
  <c r="G144" i="10"/>
  <c r="G66" i="10" s="1" a="1"/>
  <c r="G66" i="10" s="1"/>
  <c r="F144" i="10"/>
  <c r="F66" i="10" s="1" a="1"/>
  <c r="F66" i="10" s="1"/>
  <c r="E144" i="10"/>
  <c r="E66" i="10" s="1" a="1"/>
  <c r="E66" i="10" s="1"/>
  <c r="E73" i="10" s="1"/>
  <c r="H144" i="10" l="1"/>
  <c r="H66" i="10" s="1" a="1"/>
  <c r="H66" i="10" s="1"/>
  <c r="H73" i="10" s="1"/>
  <c r="D144" i="10"/>
  <c r="E79" i="10"/>
  <c r="F73" i="10"/>
  <c r="F79" i="10" s="1"/>
  <c r="G73" i="10"/>
  <c r="G79" i="10" s="1"/>
  <c r="D66" i="10" l="1" a="1"/>
  <c r="D66" i="10" s="1"/>
  <c r="D73" i="10" s="1"/>
  <c r="D81" i="10" s="1"/>
  <c r="F35" i="10"/>
  <c r="F36" i="10" s="1" a="1"/>
  <c r="F36" i="10" s="1"/>
  <c r="F77" i="10"/>
  <c r="F81" i="10"/>
  <c r="F84" i="10"/>
  <c r="F82" i="10"/>
  <c r="F83" i="10"/>
  <c r="F85" i="10"/>
  <c r="F78" i="10"/>
  <c r="F80" i="10"/>
  <c r="H85" i="10"/>
  <c r="H78" i="10"/>
  <c r="H84" i="10"/>
  <c r="H35" i="10"/>
  <c r="H36" i="10" s="1" a="1"/>
  <c r="H36" i="10" s="1"/>
  <c r="H81" i="10"/>
  <c r="H83" i="10"/>
  <c r="H82" i="10"/>
  <c r="H80" i="10"/>
  <c r="H77" i="10"/>
  <c r="E80" i="10"/>
  <c r="E81" i="10"/>
  <c r="E35" i="10"/>
  <c r="E36" i="10" s="1" a="1"/>
  <c r="E36" i="10" s="1"/>
  <c r="E84" i="10"/>
  <c r="E85" i="10"/>
  <c r="E77" i="10"/>
  <c r="E82" i="10"/>
  <c r="E83" i="10"/>
  <c r="E78" i="10"/>
  <c r="H79" i="10"/>
  <c r="G80" i="10"/>
  <c r="G78" i="10"/>
  <c r="G85" i="10"/>
  <c r="G81" i="10"/>
  <c r="G77" i="10"/>
  <c r="G82" i="10"/>
  <c r="G83" i="10"/>
  <c r="G84" i="10"/>
  <c r="G35" i="10"/>
  <c r="G36" i="10" s="1" a="1"/>
  <c r="G36" i="10" s="1"/>
  <c r="D35" i="10" l="1"/>
  <c r="D36" i="10" s="1" a="1"/>
  <c r="D36" i="10" s="1"/>
  <c r="D83" i="10"/>
  <c r="D84" i="10"/>
  <c r="D77" i="10"/>
  <c r="D80" i="10"/>
  <c r="D82" i="10"/>
  <c r="D78" i="10"/>
  <c r="D85" i="10"/>
  <c r="D79" i="10"/>
  <c r="H86" i="10"/>
  <c r="F86" i="10"/>
  <c r="G86" i="10"/>
  <c r="E86" i="10"/>
  <c r="D86" i="10"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<sst xmlns="http://schemas.openxmlformats.org/spreadsheetml/2006/main" count="726" uniqueCount="502">
  <si>
    <t xml:space="preserve">Entwickelt von: </t>
  </si>
  <si>
    <t>Impressum</t>
  </si>
  <si>
    <t>Struktur des Tools:</t>
  </si>
  <si>
    <t>Abkürzungen</t>
  </si>
  <si>
    <t>EF</t>
  </si>
  <si>
    <t>Emissionsfaktor</t>
  </si>
  <si>
    <t>GWP</t>
  </si>
  <si>
    <t>GHG</t>
  </si>
  <si>
    <t>Greenhouse Gas</t>
  </si>
  <si>
    <t xml:space="preserve">THG </t>
  </si>
  <si>
    <t>Treibhausgasemissionen</t>
  </si>
  <si>
    <t>CO₂-Äquivalente</t>
  </si>
  <si>
    <t>kg</t>
  </si>
  <si>
    <t>Kilogramm</t>
  </si>
  <si>
    <t>t</t>
  </si>
  <si>
    <t>kWh</t>
  </si>
  <si>
    <t>Pkm</t>
  </si>
  <si>
    <t>Personenkilometer</t>
  </si>
  <si>
    <t>Tkm</t>
  </si>
  <si>
    <t xml:space="preserve">Datum: </t>
  </si>
  <si>
    <t>Abkürzung</t>
  </si>
  <si>
    <t>KEA</t>
  </si>
  <si>
    <t>MJ</t>
  </si>
  <si>
    <t>Ja</t>
  </si>
  <si>
    <r>
      <t>kg CO</t>
    </r>
    <r>
      <rPr>
        <vertAlign val="subscript"/>
        <sz val="11"/>
        <color theme="1"/>
        <rFont val="Calibri"/>
        <family val="2"/>
        <scheme val="minor"/>
      </rPr>
      <t>2</t>
    </r>
    <r>
      <rPr>
        <sz val="11"/>
        <color theme="1"/>
        <rFont val="Calibri"/>
        <family val="2"/>
        <scheme val="minor"/>
      </rPr>
      <t>-Äquivalent</t>
    </r>
  </si>
  <si>
    <r>
      <t>Mol H</t>
    </r>
    <r>
      <rPr>
        <vertAlign val="superscript"/>
        <sz val="11"/>
        <color theme="1"/>
        <rFont val="Calibri"/>
        <family val="2"/>
        <scheme val="minor"/>
      </rPr>
      <t>+</t>
    </r>
    <r>
      <rPr>
        <sz val="11"/>
        <color theme="1"/>
        <rFont val="Calibri"/>
        <family val="2"/>
        <scheme val="minor"/>
      </rPr>
      <t>- Äquivalent</t>
    </r>
  </si>
  <si>
    <t>Ozonabbaupotenzial</t>
  </si>
  <si>
    <t>kg FCKW-11-Äquivalent</t>
  </si>
  <si>
    <t>kg NMVOC-Äquivalent</t>
  </si>
  <si>
    <t xml:space="preserve">Feinstaub-Potenzial </t>
  </si>
  <si>
    <t>Erdgas</t>
  </si>
  <si>
    <t>Leitungswasser</t>
  </si>
  <si>
    <t>Summe</t>
  </si>
  <si>
    <t>Nein</t>
  </si>
  <si>
    <t>Quelle</t>
  </si>
  <si>
    <t>Energie</t>
  </si>
  <si>
    <t>Quellen- und Literaturverzeichnis</t>
  </si>
  <si>
    <t>[1]</t>
  </si>
  <si>
    <t>[2]</t>
  </si>
  <si>
    <t>[3]</t>
  </si>
  <si>
    <t>Bundesland/Niederlassung:</t>
  </si>
  <si>
    <t>Datenqualität</t>
  </si>
  <si>
    <t>Das Tool besteht aus 6 Arbeitsblättern:</t>
  </si>
  <si>
    <t xml:space="preserve">GWP </t>
  </si>
  <si>
    <t xml:space="preserve">AP </t>
  </si>
  <si>
    <t>Global Warming Potential</t>
  </si>
  <si>
    <t>Ozone Depletion Potential</t>
  </si>
  <si>
    <t>ODP</t>
  </si>
  <si>
    <t>POCP</t>
  </si>
  <si>
    <t>PM</t>
  </si>
  <si>
    <t>Cumulative Energy Demand</t>
  </si>
  <si>
    <t>Hydrauliköl / Motoröl</t>
  </si>
  <si>
    <t>Photovoltaik</t>
  </si>
  <si>
    <t xml:space="preserve">Energieträger </t>
  </si>
  <si>
    <t>Nicht berücksichtigt sind:</t>
  </si>
  <si>
    <t>FU</t>
  </si>
  <si>
    <t>Funktionelle Einheit</t>
  </si>
  <si>
    <t>Transportmittel</t>
  </si>
  <si>
    <t>KEA (MJ  / tkm)</t>
  </si>
  <si>
    <t>Strommix</t>
  </si>
  <si>
    <t>Energieträger</t>
  </si>
  <si>
    <t>Bundesstraßen</t>
  </si>
  <si>
    <t>Landes-, Staatsstraßen</t>
  </si>
  <si>
    <t>Kreisstraßen</t>
  </si>
  <si>
    <r>
      <t>Streufläche SF [m²]</t>
    </r>
    <r>
      <rPr>
        <i/>
        <sz val="11"/>
        <color theme="1"/>
        <rFont val="Calibri"/>
        <family val="2"/>
        <scheme val="minor"/>
      </rPr>
      <t xml:space="preserve"> </t>
    </r>
  </si>
  <si>
    <t xml:space="preserve">Straßenklasse </t>
  </si>
  <si>
    <t xml:space="preserve">Betreuungsfaktor </t>
  </si>
  <si>
    <t>[4]</t>
  </si>
  <si>
    <t>Auswahl des Betreuungsfaktors</t>
  </si>
  <si>
    <t>KEA (MJ  / Liter)</t>
  </si>
  <si>
    <t>Tonnenkilometer</t>
  </si>
  <si>
    <t>[5]</t>
  </si>
  <si>
    <t xml:space="preserve">EMPFEHLUNG (EU) 2021/2279 DER KOMMISSION vom 15. Dezember 2021 zur Anwendung der Methoden für die Berechnung des Umweltfußabdrucks zur Messung und Offenlegung der Umweltleistung von Produkten und Organisationen entlang ihres Lebenswegs, 
https://eur-lex.europa.eu/legal-content/EN/TXT/?uri=CELEX%3A32021H2279  </t>
  </si>
  <si>
    <t>Nutzereingabe</t>
  </si>
  <si>
    <t>• Herstellung der Streumittel einschließlich Rohstoffabbau</t>
  </si>
  <si>
    <t>• Beladung der Streufahrzeuge</t>
  </si>
  <si>
    <t>• Kontrollfahrten</t>
  </si>
  <si>
    <t>Kilowattstunde</t>
  </si>
  <si>
    <t>Ziel des Tools:</t>
  </si>
  <si>
    <t>KEA (MJ  / kWh)</t>
  </si>
  <si>
    <t>3.1. Streumittel</t>
  </si>
  <si>
    <t>KEA (MJ  / Tonne)</t>
  </si>
  <si>
    <t xml:space="preserve">Sonstige hinterlegte Daten </t>
  </si>
  <si>
    <t>Bearbeiter*in(nen):</t>
  </si>
  <si>
    <t>Adresse Meisterei/Bauhof</t>
  </si>
  <si>
    <t>gemessen</t>
  </si>
  <si>
    <t>Anzahl</t>
  </si>
  <si>
    <t>Anmerkung</t>
  </si>
  <si>
    <t>Beitraganalyse</t>
  </si>
  <si>
    <t>3. Ausbringung</t>
  </si>
  <si>
    <t>Aufwand innerhalb der Meisterei/des Bauhofes</t>
  </si>
  <si>
    <t xml:space="preserve">Diesel </t>
  </si>
  <si>
    <t>[6]</t>
  </si>
  <si>
    <t>European Commission, lntegrated Pollution Prevention and Control, Reference Document on Best Available Techniques for the Manufacture of Large Volume lnorganic Chemicals - Solids and Others industry, 2007</t>
  </si>
  <si>
    <t>Sole</t>
  </si>
  <si>
    <t>KEA (MJ  / MJ)</t>
  </si>
  <si>
    <t xml:space="preserve">Emissionsfaktoren zur Bereitstellung von Wasser, Hydrauliköl / Motoröl und Diesel </t>
  </si>
  <si>
    <t xml:space="preserve">Wärmemix </t>
  </si>
  <si>
    <t>berechnet</t>
  </si>
  <si>
    <t>Beispiele</t>
  </si>
  <si>
    <t>Anteil in %</t>
  </si>
  <si>
    <t>KEA (MJ  / Einheit)</t>
  </si>
  <si>
    <t xml:space="preserve">Eigene Wärmebereitsstellung </t>
  </si>
  <si>
    <t>Energieträger / Einheit der Energieträger</t>
  </si>
  <si>
    <t>Erdgas / m³</t>
  </si>
  <si>
    <t>Öl / Liter</t>
  </si>
  <si>
    <t>Wasserverbrauch für Soleeigenherstellung und für Fahrzeug- und Streumaschinenreinigung</t>
  </si>
  <si>
    <t>anwendungsfertige Fremdsole</t>
  </si>
  <si>
    <t>konzentrierte Fremdsole</t>
  </si>
  <si>
    <t>Trockensalz</t>
  </si>
  <si>
    <t xml:space="preserve">Sole_NaCl_Steinsalz, konzentrierte Fremdsole </t>
  </si>
  <si>
    <t xml:space="preserve">Sole_NaCl_Siedesalz, konzentrierte Fremdsole </t>
  </si>
  <si>
    <r>
      <t>Sole_CaCl</t>
    </r>
    <r>
      <rPr>
        <vertAlign val="subscript"/>
        <sz val="11"/>
        <color theme="1"/>
        <rFont val="Calibri"/>
        <family val="2"/>
        <scheme val="minor"/>
      </rPr>
      <t>2</t>
    </r>
    <r>
      <rPr>
        <sz val="11"/>
        <color theme="1"/>
        <rFont val="Calibri"/>
        <family val="2"/>
        <scheme val="minor"/>
      </rPr>
      <t>, konzentrierte Fremdsole</t>
    </r>
  </si>
  <si>
    <r>
      <t>Sole_MgCl</t>
    </r>
    <r>
      <rPr>
        <vertAlign val="subscript"/>
        <sz val="11"/>
        <color theme="1"/>
        <rFont val="Calibri"/>
        <family val="2"/>
        <scheme val="minor"/>
      </rPr>
      <t>2</t>
    </r>
    <r>
      <rPr>
        <sz val="11"/>
        <color theme="1"/>
        <rFont val="Calibri"/>
        <family val="2"/>
        <scheme val="minor"/>
      </rPr>
      <t>, konzentrierte Fremdsole</t>
    </r>
  </si>
  <si>
    <t>Sole_NaCl,  konzentrierte Fremdsole</t>
  </si>
  <si>
    <t xml:space="preserve">Sole_NaCl, konzentrierte Fremdsole </t>
  </si>
  <si>
    <t>Mittelwert von Sole aus Steinsalz und Sole aus Siedesalz</t>
  </si>
  <si>
    <t>4. Ergebnisse in PDF umwandeln</t>
  </si>
  <si>
    <t>Zielgruppen des Tools</t>
  </si>
  <si>
    <t>• Blatt "Quellen": Dokumentation der verwendeten Literaturquellen</t>
  </si>
  <si>
    <t>• Soleherstellung (Verdünnung angelieferter konzentrierter Sole auf Anwendungskonzentration oder Herstellung von Sole aus Trockensalz)</t>
  </si>
  <si>
    <t>Das ÖkoWin-Tool berücksichtigt die nachfolgend aufgeführten Prozesse:</t>
  </si>
  <si>
    <t xml:space="preserve">Eingabe erforderlich </t>
  </si>
  <si>
    <t xml:space="preserve">Kumulierter Energie Aufwand </t>
  </si>
  <si>
    <t>Treibhauspotenzial</t>
  </si>
  <si>
    <t>Versauerungspotenzial</t>
  </si>
  <si>
    <t xml:space="preserve">Photooxidantienpotenzial </t>
  </si>
  <si>
    <t>Acidification Potential</t>
  </si>
  <si>
    <t>Photochemical Ozone Potential</t>
  </si>
  <si>
    <t>Erläuterung</t>
  </si>
  <si>
    <t>abgeschätzt</t>
  </si>
  <si>
    <t>Tonne</t>
  </si>
  <si>
    <t>Bundesautobahnen</t>
  </si>
  <si>
    <t xml:space="preserve">Bewertete Streufläche bSF  [m²] </t>
  </si>
  <si>
    <t>bSF</t>
  </si>
  <si>
    <t xml:space="preserve">Bewertete Streufläche </t>
  </si>
  <si>
    <t>SF</t>
  </si>
  <si>
    <t xml:space="preserve">Streufläche </t>
  </si>
  <si>
    <t>Erläuterung:</t>
  </si>
  <si>
    <t>Startdatum: Beginn Bilanzzeitraum</t>
  </si>
  <si>
    <t>Enddatum: Ende Bilanzzeitraum</t>
  </si>
  <si>
    <t xml:space="preserve">Die spezifischen Daten, die Sie im Blatt "Eingabe spezifische Daten" eingeben, müssen sich auf diese funktionelle Einheit beziehen. </t>
  </si>
  <si>
    <t xml:space="preserve">Das ÖkoWin-Tool berechnet die Umweltwirkungspotenziale für die von Ihnen eingegebene funktionelle Einheit. Die spezifischen Daten, die Sie im Blatt "Eingabe spezifische Daten" eingeben, müssen sich auf diese funktionelle Einheit beziehen. </t>
  </si>
  <si>
    <t>Erläuterungen zur Eingabe der funktionellen Einheit:</t>
  </si>
  <si>
    <t>2. Prozesse in der Meisterei / im Bauhof</t>
  </si>
  <si>
    <t>Frage 2: Verfügt die Meisterei / der Bauhof über eine eigene Wärmebereitstellung?</t>
  </si>
  <si>
    <t xml:space="preserve">Geben Sie bitte ein, welche Aufwendungen Sie in der Meisterei / im Bauhof für den Winterdienst haben. </t>
  </si>
  <si>
    <t xml:space="preserve">Beachten Sie dabei, dass sich Ihre Angaben immer auf die funktionelle Einheit beziehen müssen, die Sie auf dem Blatt "Eingabe Untersuchungsrahmen" festgelegt haben. </t>
  </si>
  <si>
    <t xml:space="preserve">Einheit </t>
  </si>
  <si>
    <t>Geben Sie bitte ein, welche Energieträger in der Meisterei / im Bauhof für die eigene Wärmeerzeugung genutzt werden und wie hoch der jeweilige Wärmeverbrauch für den Winterdienst ist.</t>
  </si>
  <si>
    <t>Verbrauch</t>
  </si>
  <si>
    <t>Strom aus Eigenerzeugung</t>
  </si>
  <si>
    <t>Eigenverbrauch Strom aus Photovoltaik</t>
  </si>
  <si>
    <t>Solarthermie (eigene Kollektoren)</t>
  </si>
  <si>
    <t>Stromverbrauch der Meisterei / des Bauhofs für den Winterdienst (Bezug aus dem Stromnetz)</t>
  </si>
  <si>
    <t>Tonnen/funkionelle Einheit</t>
  </si>
  <si>
    <t>Spezifikation transportiertes Streumittel</t>
  </si>
  <si>
    <t>Beschreibung Transportprozesse, z.B. Produktionsstätte =&gt; Zentrallager; Prduktionsstätte =&gt;Meisterei oder Zentrallager =&gt; Meisterei)</t>
  </si>
  <si>
    <t>Verbrauch [Tonnen/funktionelle Einheit]</t>
  </si>
  <si>
    <t xml:space="preserve">Bezug von konzentrierter oder anwendungsfertiger Fremdsole </t>
  </si>
  <si>
    <t>Bezeichnung Streumittel (Sole)</t>
  </si>
  <si>
    <t>Bezeichnung Streumittel (Trockensalz)</t>
  </si>
  <si>
    <t xml:space="preserve">2. Darstellung der Ökobilanz-Ergebnisse differenziert nach Prozessen </t>
  </si>
  <si>
    <t>Prozess</t>
  </si>
  <si>
    <t>Herstellung der Streumittel (trockene Streumittel und Sole)</t>
  </si>
  <si>
    <t>Transporte der Streumittel (trockene Streumittel und Sole)</t>
  </si>
  <si>
    <t>Ausbringung der Streumittel (direkte Emisssionen bei der Ausbringung und Herstellung Kraftstoffe)</t>
  </si>
  <si>
    <t>Stromverbrauch in der Meisterei / im Bauhof (Bereitstellung Strom, Netzbezug)</t>
  </si>
  <si>
    <t>Stromverbrauch in der Meisterei / im Bauhof (Bereitstellung Strom, eigene Stromerzeugung)</t>
  </si>
  <si>
    <t>Wärmeverbrauch in der Meisterei / im Bauhof (Bereitstellung Wärme, eigene Wärmeerzeugung)</t>
  </si>
  <si>
    <t>Herstellung von Motor- und Hydrauliköl sowie Diesel für Prozesse in der Meisterei / im Bauhof</t>
  </si>
  <si>
    <t>2.2.1 Verbrauch an trockenen Streumitteln (Trockensalz für die Ausbringung sowie für die eigene Herstellung von Sole)</t>
  </si>
  <si>
    <t>Bezeichnung Streumittel</t>
  </si>
  <si>
    <t>2.2.2 Verbrauchte Fremdsole (Fremdsole in Anwendungskonzentration sowie konzentrierte Fremdsole)</t>
  </si>
  <si>
    <t>3. Grafische Darstellung: Anteile der einzelnen Prozesse am Gesamtergebnis der einzelen Wirkungskategorien [Prozent]</t>
  </si>
  <si>
    <t>1. Gesamtergebnis der Ökobilanz</t>
  </si>
  <si>
    <t>Kumulierter Energie Aufwand
(MJ / funktionelle Einheit)</t>
  </si>
  <si>
    <t>Bahn</t>
  </si>
  <si>
    <t>Global Warming Potential (Treibhauspotenzial)</t>
  </si>
  <si>
    <t>1. Bitte geben Sie Ihre spezifischen Daten in die gelben Felder ein</t>
  </si>
  <si>
    <t>Erläuterungen zur Dateneingabe:</t>
  </si>
  <si>
    <t>4. Transport der Streumittel (trocken, Sole) vom Herstellungsort bis zur Meisterei / zum Bauhof</t>
  </si>
  <si>
    <t xml:space="preserve">Erläuterungen: </t>
  </si>
  <si>
    <t xml:space="preserve">Sollten Ihnen Transportentfernungen nicht bekannt sein, so können Sie verschiedene Rechner nutzen, die im Internet zugünglich sind, beispeielsweise: </t>
  </si>
  <si>
    <t>3. Eingabe der zeitlichen Komponente der funktionellen Einheit: Geben Sie hier den Zeitraum des Winterdienstes ein, den Sie bilanzieren möchten.</t>
  </si>
  <si>
    <t>4. Angaben zum Winterdienst</t>
  </si>
  <si>
    <t>Winterdienst:</t>
  </si>
  <si>
    <t xml:space="preserve">Besonderheiten in Bezug auf die verwendeten Fahrzeuge und die eingesetzte Streutechnik </t>
  </si>
  <si>
    <t>Sonstige Besonderheiten in Bezug auf den durchgeführten Winterdienst</t>
  </si>
  <si>
    <t>Schneefallereignisse (z.B. Häufigkeit, Dauer/Zeitpunkt und Schwere)</t>
  </si>
  <si>
    <t xml:space="preserve">Sonstige Besonderheiten der Wetterbedingungen </t>
  </si>
  <si>
    <r>
      <rPr>
        <b/>
        <sz val="11"/>
        <rFont val="Calibri"/>
        <family val="2"/>
        <scheme val="minor"/>
      </rPr>
      <t xml:space="preserve">• Bewertete Streufläche: </t>
    </r>
    <r>
      <rPr>
        <sz val="11"/>
        <rFont val="Calibri"/>
        <family val="2"/>
        <scheme val="minor"/>
      </rPr>
      <t xml:space="preserve">Die bewertete Streufläche (bSF) wird durch die Multiplikation der Streufläche mit einem Betreuungsfaktor ermittelt. </t>
    </r>
  </si>
  <si>
    <r>
      <rPr>
        <b/>
        <sz val="11"/>
        <rFont val="Calibri"/>
        <family val="2"/>
        <scheme val="minor"/>
      </rPr>
      <t xml:space="preserve">• Ändern der voreingestellten Betreuungsfaktoren: </t>
    </r>
    <r>
      <rPr>
        <sz val="11"/>
        <rFont val="Calibri"/>
        <family val="2"/>
        <scheme val="minor"/>
      </rPr>
      <t>Sie können die voreingestellten Betreuungsfaktoren ändern, in dem Sie in der Spalte "Auswahl des Betreuungsfaktors" in der Drop-Down-Liste "Nutzereingabe" auswählen, und dann in der Spalte "Betreuungsfaktor" einen Wert eingeben.</t>
    </r>
  </si>
  <si>
    <t xml:space="preserve">Beachten Sie, dass sowohl Trockensalz direkt für die Ausbringung als auch Trockensalz für die eigene Soleherstellung anzugeben ist. </t>
  </si>
  <si>
    <t>Natiumchlorid (aus Steinsalz)</t>
  </si>
  <si>
    <t>Natriumchlorid (aus Siedesalz)</t>
  </si>
  <si>
    <t>Natriumchlorid (aus Meersalz)</t>
  </si>
  <si>
    <t xml:space="preserve">Calciumchlorid (Prills, 100%)      </t>
  </si>
  <si>
    <t xml:space="preserve">Calciumchlorid (Flakes 76-82%)     </t>
  </si>
  <si>
    <t xml:space="preserve">Calciumchlorid-Sole, konzentrierte Fremdsole </t>
  </si>
  <si>
    <t xml:space="preserve">Calciumchlorid-Sole, anwendungsfertige Fremdsole </t>
  </si>
  <si>
    <t>Natriumchlorid-Sole</t>
  </si>
  <si>
    <t>Magnesiumchlorid-Sole</t>
  </si>
  <si>
    <t>Calciumchlorid-Sole</t>
  </si>
  <si>
    <t>Magnesiumchlorid-Sole, konzentrierte Fremdsole</t>
  </si>
  <si>
    <t>Natriumchlorid-Sole, konzentrierte Fremdsole</t>
  </si>
  <si>
    <t>Natriumchlorid-Sole, anwendungsfertige Fremdsole</t>
  </si>
  <si>
    <t>Magnesiumchlorid-Sole, anwendungsfertige Fremdsole</t>
  </si>
  <si>
    <t>Wärmeverbrauch in der Meisterei / im Bauhof (Bereitstellung Wärme, Netzbezug)</t>
  </si>
  <si>
    <t>Angaben zu den Fahrzeugen (Lkw: zulässiges Gesamtgewicht, Euro Norm, Kraftstoff)</t>
  </si>
  <si>
    <t>Erläuterungen:</t>
  </si>
  <si>
    <t>Geben Se hier bitte an, wie in der Meiterei / im Bauhof die Stromerzeugung erfolgt.</t>
  </si>
  <si>
    <t>Heizöl</t>
  </si>
  <si>
    <t>Anwendungskonzentration der Sole [Prozent] 
Falls Sie nur eine Angabe zur Bandbreite der Anwendungskonzentrationen kennen, geben Sie bitte einen Mittelwert an.</t>
  </si>
  <si>
    <t>Niederschlagswasser</t>
  </si>
  <si>
    <t>voreingestellter Betreuungsfaktor</t>
  </si>
  <si>
    <t>Transportentfernung, einfache Entfernung (km)</t>
  </si>
  <si>
    <t>Tonnenkilometer (automatisch berechneter Wert) (tkm/funktionelle Einheit)</t>
  </si>
  <si>
    <t>Holzpellets</t>
  </si>
  <si>
    <t>Holzhackschnitzel / Tonne</t>
  </si>
  <si>
    <t>Holzpellets / Tonne</t>
  </si>
  <si>
    <t>Solarthermie (eigene Kollektoren) / MJ Endenergie</t>
  </si>
  <si>
    <t xml:space="preserve">Erdgas </t>
  </si>
  <si>
    <t xml:space="preserve">Heizöl </t>
  </si>
  <si>
    <t xml:space="preserve">Holzhackschnitzel </t>
  </si>
  <si>
    <t>k.A.</t>
  </si>
  <si>
    <t>Keine Angabe</t>
  </si>
  <si>
    <r>
      <t xml:space="preserve">Frage 1: Verfügt die Meisterei / der Bauhof über eine eigene Stromerzeugung? </t>
    </r>
    <r>
      <rPr>
        <b/>
        <u/>
        <sz val="11"/>
        <color theme="1"/>
        <rFont val="Calibri"/>
        <family val="2"/>
        <scheme val="minor"/>
      </rPr>
      <t>Hinweis</t>
    </r>
    <r>
      <rPr>
        <b/>
        <sz val="11"/>
        <color theme="1"/>
        <rFont val="Calibri"/>
        <family val="2"/>
        <scheme val="minor"/>
      </rPr>
      <t>: Falls es einen Generator gibt, der nur im Falle eines Stromausfalls eingesetzt wird, geben Sie bitte "nein" ein.</t>
    </r>
  </si>
  <si>
    <t>Verkehr ist ein relevanter Verursacher von versauerenden Emissionen.</t>
  </si>
  <si>
    <t xml:space="preserve">Wasserverbrauch </t>
  </si>
  <si>
    <t>Datenqualität der spezifischen Daten</t>
  </si>
  <si>
    <t xml:space="preserve">• Antransport per Schiff, Berechnung eines Wasserweges: https://www.searates.com/services/distances-time/  </t>
  </si>
  <si>
    <t>Liter / funktionelle Einheit</t>
  </si>
  <si>
    <t>Pkw, Diesel</t>
  </si>
  <si>
    <t>Pkw, Benzin</t>
  </si>
  <si>
    <t>Fahrzeuge (Lkw, zulässiges Gesamtgewicht, Euro_Norm, Kraftstoffe)</t>
  </si>
  <si>
    <t>Liter</t>
  </si>
  <si>
    <t>2.1</t>
  </si>
  <si>
    <t>2.2</t>
  </si>
  <si>
    <t>2.3</t>
  </si>
  <si>
    <t>2.4</t>
  </si>
  <si>
    <t>2.5</t>
  </si>
  <si>
    <t>2.6</t>
  </si>
  <si>
    <t xml:space="preserve">2.1.1 Absolute Ergebnisse nach Prozessen </t>
  </si>
  <si>
    <t xml:space="preserve">2.1.2 Anteile der einzelnen Prozesse am Gesamtergebnis </t>
  </si>
  <si>
    <t>Voreingestellte Betreuungsfaktoren basieren auf TAUSALA; Quelle: [4]</t>
  </si>
  <si>
    <t>Erläuterungen zur Berechnung der Umweltauswirkungen</t>
  </si>
  <si>
    <t xml:space="preserve">• Blatt "Eingabe Untersuchungsrahmen": Eingabe von allgemeinen Informationen, zur funktionellen Einheit und zur Beschreibung des Winterdienstes.  </t>
  </si>
  <si>
    <t>• Ausbringung der Streumittel (inkl. etwaiger Leerfahrten)</t>
  </si>
  <si>
    <t>• Bereitstellung von Strom, Wärme und Kraftstoffen inkl. der jeweiligen Vorketten</t>
  </si>
  <si>
    <t>• Transport der Streumittel vom Hersteller/Lieferanten zum Zentrallager oder direkt zur Meisterei/zum Bauhof und Transport der Streumittel vom Zentrallager zur Meisterei/zum Bauhof</t>
  </si>
  <si>
    <t>• Fahrzeug- und Gerätereinigung (inkl. Vorkette Wasser)</t>
  </si>
  <si>
    <t>Hinweis: nicht alle Prozesse sind in allen Fällen relevant (beispielsweise stellen nicht alle Meistereien/Bauhöfe Sole her)</t>
  </si>
  <si>
    <t>• Der manuelle Winterdienst. Es wird angenommen, dass dieser für den Anwendungsbereich des ÖkoWin-Tools (Straßenwinterdienst) keine Rolle spielt</t>
  </si>
  <si>
    <t xml:space="preserve">Bei der Datenqualität der spezifischen Daten werden drei Kategorien unterschieden: </t>
  </si>
  <si>
    <t>Berücksichtigte Umweltauswirkungen</t>
  </si>
  <si>
    <t>Bedeutung der farblichen Markierungen der Zellen</t>
  </si>
  <si>
    <t>Bezeichnung Meisterei/Bauhof:</t>
  </si>
  <si>
    <t xml:space="preserve">Die funktionelle Einheit hat eine räumliche Komponente - die bewertete Streufläche - und eine zeitliche Komponente - den Zeitraum des Winterdienstes (z.B. eine Winterperiode oder der Winterdiensteinsatz an eiem bestimmten Tag). Bitte geben Sie beide Komponenten in die nachfolgenden beiden Tabellen ein. </t>
  </si>
  <si>
    <r>
      <rPr>
        <b/>
        <sz val="11"/>
        <rFont val="Calibri"/>
        <family val="2"/>
        <scheme val="minor"/>
      </rPr>
      <t xml:space="preserve">• Betreuungsfaktoren: </t>
    </r>
    <r>
      <rPr>
        <sz val="11"/>
        <rFont val="Calibri"/>
        <family val="2"/>
        <scheme val="minor"/>
      </rPr>
      <t xml:space="preserve">Die Betreuungsfaktoren beschreiben die unterschiedlichen Winterdienstintensitäten nach Straßenklassen. Im ÖkoWin-Tool sind Betreuungsfaktoren für die verschiedenen Straßenklassen voreingestellt, die auf TAUSALA (Quelle: [4]) basieren. Sie können durch eine spezifische Eingabe ersetzt werden. </t>
    </r>
  </si>
  <si>
    <t>Sie können eine ganze Winterperiode, Teile einer Winterperiode oder auch nur einzelne Tage bilanzieren - je nachdem, welches Ziel Sie mit der Ökobilanz verfolgen</t>
  </si>
  <si>
    <t xml:space="preserve">Wetter- und Straßenbedingungen: </t>
  </si>
  <si>
    <t>Verbrauch von Nah- oder Fernwärme (Wärmebezug)</t>
  </si>
  <si>
    <t>Verbrauch von Leitungswasser in der Meisterei / im Bauhof für den Winterdienst (z.B. für Soleherstellung, Fahrzeug- und Streumaschinenreinigung)</t>
  </si>
  <si>
    <t>Verbrauch von Niederschlagswasser in der Meisterei / im Bauhof für den Winterdienst (z.B. für Soleherstellung, Fahrzeug- und Streumaschinenreinigung)</t>
  </si>
  <si>
    <t>Verbrauch von Motoröl und Hydrauliköl, der dem Winterdeinst zugeordnet werden kann (z.B. für Streufahrzeuge)</t>
  </si>
  <si>
    <t>Verbrauch von Diesel für Prozesse in der Meisterei / auf dem Bauhof, die dem Winterdienst zugeordnet werden können (z.B. Nutzung Radlader im Streumittellager oder für Beladung Streufahrzeuge)</t>
  </si>
  <si>
    <t>Holzpellets, Verbrauch bitte als Trockenmasse angeben</t>
  </si>
  <si>
    <t>Holzhackschnitzel, Verbrauch bitte als Trockenmasse angeben</t>
  </si>
  <si>
    <t xml:space="preserve">Sie können dabei in der ersten Spalte der nachfolgenden Tabelle aus einem Dropdown-Menü die entsprechenden Streumittel auswählen. Bei Natriumchlorid haben Sie die Auswahl zwischen drei verschiedenen Herstellungsverfahren: Steinsalz, Siedesalz und Meersalz </t>
  </si>
  <si>
    <t xml:space="preserve">3.1.1 Geben Sie bitte den Verbrauch an trockenen Streumitteln (Trockensalz) in Bezug auf die von Ihnen festgelegte funktionelle Einheit an. </t>
  </si>
  <si>
    <t xml:space="preserve">3.1.2 Verbrauchte Streumittel: konzentrierte Fremdsole und Fremdsole in Anwendungskonzentration </t>
  </si>
  <si>
    <t xml:space="preserve">Beachten Sie, dass sowohl anwendungsfertige Fremdsole als auch konzentrierte Fremdsole, die vor Ort verdünnt wird, anzugeben ist - in Abhängigkeit davon, was Sie einkaufen. Die angegebene Menge muss sich immer auf die funktionelle Einheit beziehen. </t>
  </si>
  <si>
    <t>3.2 Verbrauch Kraftstoffe für die Ausbringung</t>
  </si>
  <si>
    <t xml:space="preserve">Die Angaben zu den Fahrzeugen in der ersten Spalte der nachfolgenden Tabelle dienen dazu, die korrekten Emissionsfakoren für die Berechnung der Emissionen zu verknüpfen. </t>
  </si>
  <si>
    <t>• Antransport per Bahn: Für die Berechnung einer Bahnstrecke konnte kein vergleichbarer Rechner identifiziert werden. Bitte erfragen Sie die Transportentfernungen bei Ihren Lieferanten.</t>
  </si>
  <si>
    <t xml:space="preserve">• Antransport per LKW, Berechnung eines Landwegs: https://routing.openstreetmap.de/?z=4&amp;center=47.724545%2C-29.707031&amp;hl=de&amp;alt=0&amp;srv=0 </t>
  </si>
  <si>
    <t xml:space="preserve">Der Transportweg kann mehrere Abschnitte umfassen. Geben Sie die mit unterschiedlichen Transportmitteln erfolgten Transportbschnitte bitte getrennt ein. </t>
  </si>
  <si>
    <t>Wählen Sie das Transportmittel aus dem Dropdownmenü aus. Falls Sie die EURO-Klasse eines LKW nicht kennen, wählen Sie bitte den Euro-3-Lkw aus (konservativer Ansatz).</t>
  </si>
  <si>
    <t>Sollten Sie für die Angaben zum Transport der Streumittel weitere Zeilen benötigen, dann können Sie diese über die Funktion "Zeilen einfügen" in die nachfolgende Tabelle einfügen.</t>
  </si>
  <si>
    <t xml:space="preserve">Geben Sie für alle Transportabschnitte die Transportentfernung und das Transportmittel an. </t>
  </si>
  <si>
    <t>Beschreiben Sie in der ersten Spalte der nachfolgenden Tabelle den jeweiligen Abschnitt des Transportwegs. Beispiele für Transportabschnitte: vom Herstellungsort der Streumittel zur Meisterei oder zum Bauhof; vom Herstellungsort zu einem Zwischenlager des Lieferanten oder zum Zentrallager der Meisterei oder des Bauhofes; vom Zentrallager zur Meisterei oder zum Bauhof etc..</t>
  </si>
  <si>
    <t xml:space="preserve">Auf diesem Tabellenblatt werden Ihre spezifischen Daten zum Winterdienst erfasst. </t>
  </si>
  <si>
    <t xml:space="preserve">Bitte machen Sie Ihre Angaben immer mit Bezug zur funktionellen Einheit, d.h. der Streufläche und dem Zeitraum des Winterdienstes, den Sie auf dem Blatt "Eingabe Untersuchungsrahmen" als funktionelle Einheit festgelegt haben.  </t>
  </si>
  <si>
    <t>Machen Sie zu den eingegebenen Daten bitte Angaben zur Datenqualität. Sie können dabei aus einem Dropdown-Menü auswählen: gemessen (z.B. Stromrechnung), berechnet (z.B. Wassermenge zur Herstellung von Sole) und abgeschätzt (z.B. Anteil Wasserverbrauch für den Winterdienst, wenn die Wasserrechnung nur jährlich ausgestellt wird).</t>
  </si>
  <si>
    <t>Sie haben die Möglichkeit in den Eingabetabellen in der letzten Spalte jeweils eine Anmerkung einzugeben. Darin können Sie beispielsweise dokumentieren, wie Sie eine Berechnung oder Abschätzung  vorgenommen haben, in welchen Dokumenten Sie die benötigten Informationen gefunden haben oder welche Vereinfachungen Sie durchgeführt haben. Ihr Vorteil: Die eingegebenen Daten sind für Sie selbst auch zu einem späteren Zeitpunkt nachvollziehbar und die Nutzung des ÖkoWin-Tools ist einfacher selbst bei einem Wechsel des Bearbeiters / der Bearbeiterin.</t>
  </si>
  <si>
    <t xml:space="preserve">Wenn eine Zeile für Ihren Fall nicht relevant ist, geben Sie bitte "0" ein. </t>
  </si>
  <si>
    <t>• Der Verbleib der Streumittel in der Umwelt nach der Ausbringung und deren Umweltauswirkungen</t>
  </si>
  <si>
    <t>Erläuterungen zur Datenqualität</t>
  </si>
  <si>
    <t xml:space="preserve">In der nachfolgenden Tabelle wird die Datenqualtiät der spezifischen Daten dargestellt, die Sie eingegeben haben. </t>
  </si>
  <si>
    <t xml:space="preserve">Ist der Beitrag eines Prozesses besonders groß, kann es sinnvoll sein Daten nachzuerheben, um die Datenqualität zu verbessern und das Ergebnis der Ökobilanz zu präzisieren. </t>
  </si>
  <si>
    <t xml:space="preserve">Das Berechnungswerkzeug "ÖkoWin-Tool" wurde im Rahmen des Forschungsprojektes "ÖkoWin: Ermittlung von Grundlagen und Bewertungsmethoden einer Ökobilanz des Straßenwinterdienstes" entwickelt. Das Projekt wurde im Auftrag der Bundesanstalt für Straßenwesen (bast) von Öko-Institut (Projektleitung) in Kooperation mit Salt Research + Consulting und Hydrotox durchgeführt (ÖkoWin - FE 03.0617/2021/MGB).  Die konzeptionelle und technische Realisierung des Tools erfolgte durch Öko-Institut und Salt Research + Consulting. 
</t>
  </si>
  <si>
    <t>Erläuterungen zur Schreibweise der Ergebnisse:</t>
  </si>
  <si>
    <t>In der nachfolgenden Tabelle werden die Zahlenwerte mit einem Farbbalken hinterlegt. Die Größe des Farbbalkens spiegelt die Größe des Beitrags innerhalb einer Umweltwirkungskategorie wieder.</t>
  </si>
  <si>
    <t>Verbrauch Kraftstoffe</t>
  </si>
  <si>
    <t>Adresse Meisterei/Bauhof:</t>
  </si>
  <si>
    <t xml:space="preserve">Standort: </t>
  </si>
  <si>
    <t>Wasserverbrauch (Bereitstellung Trinwasser, Bezug Leitungswasser) für Sole-Herstellung sowie die Reinigung von Fahrzeugen und Streumaschinen</t>
  </si>
  <si>
    <t>Funktionelle Einheit:</t>
  </si>
  <si>
    <t>Besonderheiten in Bezug auf den Verkehr / die Verkehrsbedingungen</t>
  </si>
  <si>
    <t>Natriumchlorid (aus Steinsalz)</t>
  </si>
  <si>
    <t>Die Eingabe ist auf 960 Zeichen je Eingabezelle begrenzt.</t>
  </si>
  <si>
    <t>Voraussetzung für die Nutzung des Tools ist Microsoft® Excel® unter Microsoft 365.</t>
  </si>
  <si>
    <t>[7]</t>
  </si>
  <si>
    <t xml:space="preserve">Environmental product declaration, https://www.viridiansolar.com/assets/common/Clearline-fusion-module-EPD-Report.pdf </t>
  </si>
  <si>
    <t>Umrechnung basiert auf [7]</t>
  </si>
  <si>
    <t xml:space="preserve">Eigene Stromerzeugung </t>
  </si>
  <si>
    <t>[8]</t>
  </si>
  <si>
    <t>Biogas / m³</t>
  </si>
  <si>
    <t xml:space="preserve">Biogas </t>
  </si>
  <si>
    <t>Biogas</t>
  </si>
  <si>
    <t>[9]</t>
  </si>
  <si>
    <t xml:space="preserve">Fazio, Simone; Pennington, David (2005): Drinking water; water purification treatment; production mix, at plant; from groundwater (Location: RER). European Commission, Joint Research Centre (JRC) [Dataset] PID: http://data.europa.eu/89h/jrc-eplca-db009013-338f-11dd-bd11-0800200c9a66 </t>
  </si>
  <si>
    <t>Fazio, Simone; Pennington, David (2008): Diesel mix at refinery; from crude oil and bio components, fuel supply; production mix, at refinery; 10 ppm sulphur, 5.75 wt.% bio components (Location: EU-27). European Commission, Joint Research Centre (JRC) [Dataset] PID: http://data.europa.eu/89h/jrc-eplca-1ea201ab-eec9-4356-93d8-3a4905ea35cd</t>
  </si>
  <si>
    <t>[10]</t>
  </si>
  <si>
    <t>Fazio, Simone; Pennington, David (2008): Light fuel oil at refinery; from crude oil, fuel supply; production mix, at refinery; 0.1 wt.% sulphur (Location: EU-27). European Commission, Joint Research Centre (JRC) [Dataset] PID: http://data.europa.eu/89h/jrc-eplca-5214312b-3726-4af4-b804-2b1556b94d54</t>
  </si>
  <si>
    <t>[11]</t>
  </si>
  <si>
    <t>[12]</t>
  </si>
  <si>
    <t>Binnenschiff</t>
  </si>
  <si>
    <t>Massengutfrachter</t>
  </si>
  <si>
    <t>Containerschiff</t>
  </si>
  <si>
    <t>[13]</t>
  </si>
  <si>
    <t>Fazio, Simone; Pennington, David (2005): Bulk carrier ocean; technology mix; 100.000-200.000 dwt (Location: RER). European Commission, Joint Research Centre (JRC) [Dataset] PID: http://data.europa.eu/89h/jrc-eplca-ee57e8ac-17cd-4538-be62-35d1095a30c2</t>
  </si>
  <si>
    <t>Fazio, Simone; Pennington, David (2005): Container ship ocean; technology mix; 27.500 dwt pay load capacity (Location: RER). European Commission, Joint Research Centre (JRC) [Dataset] PID: http://data.europa.eu/89h/jrc-eplca-7d4c6dee-3d6b-4fbf-a496-2354450a1a14</t>
  </si>
  <si>
    <t>Fazio, Simone; Pennington, David (2005): Barge; technology mix; 1.228 t pay load capacity (Location: RER). European Commission, Joint Research Centre (JRC) [Dataset] PID: http://data.europa.eu/89h/jrc-eplca-09aa1e7b-1d7d-4a7c-8dde-ec6d40022fa1</t>
  </si>
  <si>
    <t>[14]</t>
  </si>
  <si>
    <t>Fazio, Simone; Pennington, David (2005): Rail transport; technology mix, electricity driven, cargo (Location: RER). European Commission, Joint Research Centre (JRC) [Dataset] PID: http://data.europa.eu/89h/jrc-eplca-9d66aabb-906f-45f6-b3f3-6d002cae096d</t>
  </si>
  <si>
    <t>[15]</t>
  </si>
  <si>
    <t>[16]</t>
  </si>
  <si>
    <t>Fazio, Simone; Pennington, David (2005): Rail transport; technology mix, diesel driven, cargo (Location: RER). European Commission, Joint Research Centre (JRC) [Dataset] PID: http://data.europa.eu/89h/jrc-eplca-db009023-338f-11dd-bd11-0800200c9a66</t>
  </si>
  <si>
    <t>[17]</t>
  </si>
  <si>
    <t>[18]</t>
  </si>
  <si>
    <t>[19]</t>
  </si>
  <si>
    <t>[20]</t>
  </si>
  <si>
    <t>[21]</t>
  </si>
  <si>
    <t>[22]</t>
  </si>
  <si>
    <t>[23]</t>
  </si>
  <si>
    <t>[24]</t>
  </si>
  <si>
    <t>[25]</t>
  </si>
  <si>
    <t>[26]</t>
  </si>
  <si>
    <t>[27]</t>
  </si>
  <si>
    <t>ÖKOBAUDAT: Nutzung - 1 kWh Endenergie aus Gas Niedertemperatur (entspr. GEG), https://oekobaudat.de/OEKOBAU.DAT/datasetdetail/process.xhtml?uuid=a0318d13-5658-4f05-bdf6-a2c2ce410e04&amp;version=20.23.050&amp;stock=OBD_2023_I&amp;lang=de</t>
  </si>
  <si>
    <t>ÖKOBAUDAT: Nutzung - 1 kWh Endenergie aus Öl Niedertemperatur und Brennwert (entspr. GEG), https://oekobaudat.de/OEKOBAU.DAT/datasetdetail/process.xhtml?uuid=0453f1ec-971a-472d-89ee-4d1dd3e98e0c&amp;version=20.23.050&amp;stock=OBD_2023_I&amp;lang=de</t>
  </si>
  <si>
    <t>ÖKOBAUDAT: Nutzung - 1 kWh Endenergie aus Hackschnitzeln (entspr. GEG), https://oekobaudat.de/OEKOBAU.DAT/datasetdetail/process.xhtml?uuid=5f167dab-507c-4a05-862f-951f177c846a&amp;version=20.23.050&amp;stock=OBD_2023_I&amp;lang=de</t>
  </si>
  <si>
    <t>ÖKOBAUDAT: Nutzung - 1 kWh Endenergie aus Holzpellets (entspr. GEG), https://oekobaudat.de/OEKOBAU.DAT/datasetdetail/process.xhtml?uuid=dfa79627-6389-4cfd-9000-58835bb5dd6d&amp;version=20.23.050&amp;stock=OBD_2023_I&amp;lang=de</t>
  </si>
  <si>
    <t>Eigene Berechnung aus [8] und [17]</t>
  </si>
  <si>
    <t>Eigene Berechnung aus [8] und [18]</t>
  </si>
  <si>
    <t>Eigene Berechnung aus [8] und [19]</t>
  </si>
  <si>
    <t>Eigene Berechnung aus [8] und [20]</t>
  </si>
  <si>
    <t>ÖKOBAUDAT: Biogas (1 kg),  https://oekobaudat.de/OEKOBAU.DAT/datasetdetail/process.xhtml?uuid=896ea45c-a831-46a4-883f-d4bb4f1d661e&amp;version=20.23.050&amp;stock=OBD_2023_I&amp;lang=de</t>
  </si>
  <si>
    <t>Eigene Berechnung aus [8] und [21]</t>
  </si>
  <si>
    <t xml:space="preserve">Emissionsbilanz erneuerbarer Energieträger Bestimmung der vermiedenen Emissionen im Jahr 2020, Dr. Thomas Lauf, Michael Memmler, Sven Schneider, https://www.umweltbundesamt.de/publikationen/emissionsbilanz-erneuerbarer-energietraeger-2020 </t>
  </si>
  <si>
    <t>ÖKOBAUDAT: Solaranlage Flachkollektor; https://oekobaudat.de/OEKOBAU.DAT/datasetdetail/process.xhtml?uuid=ad5f4666-dffa-45d4-abe4-fb5ab74d63e1&amp;version=20.23.050&amp;stock=OBD_2023_I&amp;lang=de</t>
  </si>
  <si>
    <t>ÖKOBAUDAT: Fernwärme Mix Deutschland, https://oekobaudat.de/OEKOBAU.DAT/datasetdetail/process.xhtml?uuid=63aac37f-e1bc-4e1d-8338-beb5f78fa7e3&amp;version=20.23.050&amp;stock=OBD_2023_I&amp;lang=de</t>
  </si>
  <si>
    <t>ÖKOBAUDAT: Strom für Gebäudebetrieb 2021, https://oekobaudat.de/OEKOBAU.DAT/datasetdetail/process.xhtml?uuid=c1ccc7a6-09a5-4b36-b6f8-1af3cc43e5b8&amp;version=20.23.050&amp;stock=OBD_2023_I&amp;lang=de</t>
  </si>
  <si>
    <t>Direkte Emissionen und Kraftstoffverbrauch stammen aus [24]. Produktion des Diesels aus [10]</t>
  </si>
  <si>
    <t>Lkw &gt;14-26t, Euro 3</t>
  </si>
  <si>
    <t>Lkw &gt;14-26t, Euro 4</t>
  </si>
  <si>
    <t>Lkw &gt;14-26t, Euro 5</t>
  </si>
  <si>
    <t>Lkw &gt;14-26t, Euro 6</t>
  </si>
  <si>
    <t>Lkw &gt;7.5-14t, Euro 3</t>
  </si>
  <si>
    <t>Lkw &gt;7.5-14t, Euro 4</t>
  </si>
  <si>
    <t>Lkw &gt;7.5-14t, Euro 5</t>
  </si>
  <si>
    <t>Lkw &gt;7.5-14t, Euro 6</t>
  </si>
  <si>
    <t>Lkw, Biodiesel</t>
  </si>
  <si>
    <t>Pkw, Biodiesel</t>
  </si>
  <si>
    <t>Pkw, Erdgas, CNG</t>
  </si>
  <si>
    <t>Lkw &gt;14-26t, Euro 3, Diesel</t>
  </si>
  <si>
    <t>Lkw &gt;14-26t, Euro 4, Diesel</t>
  </si>
  <si>
    <t>Lkw &gt;14-26t, Euro 5, Diesel</t>
  </si>
  <si>
    <t>Lkw &gt;14-26t, Euro 6, Diesel</t>
  </si>
  <si>
    <t xml:space="preserve">umgerechnet auf Liter auf Basis von Emissionsfaktoren in tkm </t>
  </si>
  <si>
    <t>Pkw, Erdgas, LPG</t>
  </si>
  <si>
    <t>GEMIS 5.1, https://iinas.org/</t>
  </si>
  <si>
    <t>Fazio, Simone; Pennington, David (2008): Gasoline mix (regular) at refinery; from crude oil and bio components, fuel supply; production mix, at refinery; 10 ppm sulphur, 5.75 wt.% bio components (Location: EU-27). European Commission, Joint Research Centre (JRC) [Dataset] PID: http://data.europa.eu/89h/jrc-eplca-f44f98ce-1d4c-4267-9d06-c7686b9488a3</t>
  </si>
  <si>
    <t>ÖKOBAUDAT:Liquefied petroleum gas (LPG; 70% propane; 30% butane) https://oekobaudat.de/OEKOBAU.DAT/datasetdetail/process.xhtml?uuid=649d96f3-73b2-41e3-950a-3cd259f7d8ba&amp;version=20.23.050&amp;stock=OBD_2023_I&amp;lang=de</t>
  </si>
  <si>
    <t>Direkte Emissionen stammen aus [24]. Produktion des Kraftstoffes aus [10]</t>
  </si>
  <si>
    <t>Direkte Emissionen stammen aus [24]. Produktion des Kraftstoffes aus [26]</t>
  </si>
  <si>
    <t>Direkte Emissionen stammen aus [24]. Produktion des Kraftstoffes aus [25]</t>
  </si>
  <si>
    <t>Direkte Emissionen stammen aus [24]. Produktion des Kraftstoffes aus [27]</t>
  </si>
  <si>
    <t>Direkte Emissionen stammen aus [8]. Produktion des Kraftstoffes aus [25]</t>
  </si>
  <si>
    <t>Eigene Modellierung basiert auf  [3], Hintergrunddatenbank: ÖkobauDat, ELCD, Gemis 5.1</t>
  </si>
  <si>
    <t>Die Makros müssen aktiviert sein, damit das Tool funktioniert. Wenden Sie sich bitte an Ihren Systemadministrator, wenn die Makro-Ausführung bei Ihnen gesperrt ist.</t>
  </si>
  <si>
    <t xml:space="preserve">Die Datenqualität bildet nicht ab, welche Bedeutung die jeweiligen spezifischen Daten im Rahmen der Bilanz haben, </t>
  </si>
  <si>
    <t xml:space="preserve">z.B. welchen Einfluss es auf das Ergebnis hätte, wenn statt eines grob abgeschätzten Wertes ein gemessener Wert eingegeben würde. </t>
  </si>
  <si>
    <t>Lkw / Unimog &gt;7.5-14t, Euro 4, Diesel</t>
  </si>
  <si>
    <t>Lkw / Unimog &gt;7.5-14t, Euro 5, Diesel</t>
  </si>
  <si>
    <t>Lkw / Unimog &gt;7.5-14t, Euro 6, Diesel</t>
  </si>
  <si>
    <t>Lkw / Unimog &gt;7.5-14t, Euro 3, Diesel</t>
  </si>
  <si>
    <r>
      <t>Treibhauspotenzial 
(kg CO</t>
    </r>
    <r>
      <rPr>
        <b/>
        <vertAlign val="subscript"/>
        <sz val="21"/>
        <color theme="0"/>
        <rFont val="Calibri"/>
        <family val="2"/>
        <scheme val="minor"/>
      </rPr>
      <t>2-Äq</t>
    </r>
    <r>
      <rPr>
        <b/>
        <sz val="21"/>
        <color theme="0"/>
        <rFont val="Calibri"/>
        <family val="2"/>
        <scheme val="minor"/>
      </rPr>
      <t xml:space="preserve"> / funktionelle Einheit)</t>
    </r>
  </si>
  <si>
    <r>
      <t>Versauerungspotenzial
(mol H+</t>
    </r>
    <r>
      <rPr>
        <b/>
        <vertAlign val="subscript"/>
        <sz val="21"/>
        <color theme="0"/>
        <rFont val="Calibri"/>
        <family val="2"/>
        <scheme val="minor"/>
      </rPr>
      <t>-Äq</t>
    </r>
    <r>
      <rPr>
        <b/>
        <sz val="21"/>
        <color theme="0"/>
        <rFont val="Calibri"/>
        <family val="2"/>
        <scheme val="minor"/>
      </rPr>
      <t>/ funktionelle Einheit)</t>
    </r>
  </si>
  <si>
    <r>
      <t>Ozonabbaupotenzial
(kg CFC11</t>
    </r>
    <r>
      <rPr>
        <b/>
        <vertAlign val="subscript"/>
        <sz val="21"/>
        <color theme="0"/>
        <rFont val="Calibri"/>
        <family val="2"/>
        <scheme val="minor"/>
      </rPr>
      <t>-Äq</t>
    </r>
    <r>
      <rPr>
        <b/>
        <sz val="21"/>
        <color theme="0"/>
        <rFont val="Calibri"/>
        <family val="2"/>
        <scheme val="minor"/>
      </rPr>
      <t xml:space="preserve"> / funktionelle Einheit)</t>
    </r>
  </si>
  <si>
    <r>
      <t>Photooxidantienpotenzial 
(kg NMVOC</t>
    </r>
    <r>
      <rPr>
        <b/>
        <vertAlign val="subscript"/>
        <sz val="21"/>
        <color theme="0"/>
        <rFont val="Calibri"/>
        <family val="2"/>
        <scheme val="minor"/>
      </rPr>
      <t>-Äq</t>
    </r>
    <r>
      <rPr>
        <b/>
        <sz val="21"/>
        <color theme="0"/>
        <rFont val="Calibri"/>
        <family val="2"/>
        <scheme val="minor"/>
      </rPr>
      <t xml:space="preserve"> / funktionelle Einheit)</t>
    </r>
  </si>
  <si>
    <r>
      <rPr>
        <b/>
        <sz val="21"/>
        <color theme="1"/>
        <rFont val="Arial"/>
        <family val="2"/>
      </rPr>
      <t>1</t>
    </r>
    <r>
      <rPr>
        <sz val="21"/>
        <color theme="1"/>
        <rFont val="Arial"/>
        <family val="2"/>
      </rPr>
      <t xml:space="preserve">  m² bewertete Streufläche im Bilanzzeitraum</t>
    </r>
  </si>
  <si>
    <t xml:space="preserve">Prüfen Sie daher in der nachfolgenden differenzierten Darstellung der Ergebnisse, welche Prozesse besonders relevant sind, </t>
  </si>
  <si>
    <t xml:space="preserve">und welche Datenqualität die entsprechenden von Ihnen  eingegebenen spezifischen Daten haben. </t>
  </si>
  <si>
    <r>
      <t>Ozonabbaupotenzial
(kg CFC11</t>
    </r>
    <r>
      <rPr>
        <b/>
        <vertAlign val="subscript"/>
        <sz val="21"/>
        <color theme="0"/>
        <rFont val="Calibri"/>
        <family val="2"/>
        <scheme val="minor"/>
      </rPr>
      <t>-Äq</t>
    </r>
    <r>
      <rPr>
        <b/>
        <sz val="21"/>
        <color theme="0"/>
        <rFont val="Calibri"/>
        <family val="2"/>
        <scheme val="minor"/>
      </rPr>
      <t xml:space="preserve"> / funktionelle Einheit</t>
    </r>
  </si>
  <si>
    <t>Unimog ≤7,5t,  Euro 3, Diesel</t>
  </si>
  <si>
    <t>Unimog ≤7,5t,  Euro 4, Diesel</t>
  </si>
  <si>
    <t>Unimog ≤7,5t,  Euro 5, Diesel</t>
  </si>
  <si>
    <t>Unimog ≤7,5t,  Euro 6, Diesel</t>
  </si>
  <si>
    <t>Wasserverbrauch für die Verdünnung bei Herstellern (Tonne/FU), nur relevant für anwendigungsfertige Fremdsole</t>
  </si>
  <si>
    <t xml:space="preserve">Handbuch für Emissionsfaktoren (HBEFA) Version 4.2, Infras,  2022, https://www.hbefa.net/d/ </t>
  </si>
  <si>
    <t>Ran Liu, Dr. Dietlinde Quack, Öko-Institut, Berlin/Freiburg</t>
  </si>
  <si>
    <t>Dr. Franz Götzfried, Salt Research + Consulting, Bad Wimpfen</t>
  </si>
  <si>
    <t xml:space="preserve">Der Schreibschutz kann von der Anwenderin / vom Anwender aufgehoben werden. Das Passwort lautet „schnee“. </t>
  </si>
  <si>
    <t>Das ÖkoWin-Tool verfügt über einen Schreibschutz, um versehentliche Änderungen zu vermeiden.</t>
  </si>
  <si>
    <t xml:space="preserve">Reifglätte (z.B. Häufigkeit, Dauer/Zeitpunkt und Schwere) </t>
  </si>
  <si>
    <t xml:space="preserve">Eisglätte (z.B. Häufigkeit, Dauer/Zeitpunkt und Schwere) </t>
  </si>
  <si>
    <t xml:space="preserve">Die Darstellung der absoluten Ergebnisse erfolgt als Dezimalzahl mit zwei Nachkommastellen. </t>
  </si>
  <si>
    <t xml:space="preserve">Eine Ausnahme stellt die Wirkungskategorie Ozonabbaupotenzial dar. Da in dieser Wirkungskategorie sehr kleine Werte zu erwarten sind, wurde die wissenschaftliche Schreibweise gewählt. </t>
  </si>
  <si>
    <t>Menge an eingesetzter Fremdesole</t>
  </si>
  <si>
    <t>• Blatt "Eingabe spezifische Daten": Eingabe von spezifischen Inventardaten zum Winterdienst, jeweils mit Bezug zur funktionellen Einheit. Die eingegebenen Daten werden automatisch mit den hintergelegten Emissionsfaktoren verknüpft</t>
  </si>
  <si>
    <t xml:space="preserve">• Blatt "Ergebnisse": Überblick über die Gesamtergebnisse sowie die Beiträge der unterschiedlichen Prozesse  zu den Umweltauswirkungen (tabellarisch, Grafik). Es besteht die Möglichkeit, die Ergebnisse als pdf-Datei ausgeben zu lassen. </t>
  </si>
  <si>
    <t>Systemgrenzen der Bilanz</t>
  </si>
  <si>
    <r>
      <t>• Die Herstellung und die Entsorgung von Kapitalgüter</t>
    </r>
    <r>
      <rPr>
        <sz val="11"/>
        <color rgb="FFFF0000"/>
        <rFont val="Calibri"/>
        <family val="2"/>
        <scheme val="minor"/>
      </rPr>
      <t xml:space="preserve">n </t>
    </r>
    <r>
      <rPr>
        <sz val="11"/>
        <color theme="1"/>
        <rFont val="Calibri"/>
        <family val="2"/>
        <scheme val="minor"/>
      </rPr>
      <t xml:space="preserve">in der Meisterei / im Bauhof (z.B. Gebäude und Anlagen) werden in dieser Ökobilanz nicht berücksichtigt, sie liegen außerhalb der Systemgrenzen.   Die verwendeten Hintergrunddatenbanken sind ÖkobauDat, ELCD, und GEMIS5.1. </t>
    </r>
  </si>
  <si>
    <t>Der Wasserverbrauch für die Herstellung der Anwendungskonzentration von Sole kann aus der Ausgangskonzentration der konzentrierten Sole berechnet werden.</t>
  </si>
  <si>
    <t>Wirkungskategorie (Deutsch)</t>
  </si>
  <si>
    <t>Wirkungskategorie (Englisch)</t>
  </si>
  <si>
    <t>Wirkungsindikator</t>
  </si>
  <si>
    <t xml:space="preserve">Energie wird vor allem für Bereitstellungsprozesse (Vorketten) aufgewendet. Im Fall des Straßenwinterdienstes  z.B. für die Bereitstellung von Strom, Kraftstoffen und Streumitteln. </t>
  </si>
  <si>
    <t xml:space="preserve">Klimarelevante Emissionen resultieren vor allem aus Bereitstellungsprozessen (Vorketten). Im Fall des Straßenwinterdienstes  z.B. für die Bereitstellung von Strom, Kraftstoffen und Streumitteln. </t>
  </si>
  <si>
    <t xml:space="preserve">Die Produktion von Kraftstoffen trägt potenziell zur Emission ozonabbauender Substanzen bei. </t>
  </si>
  <si>
    <t xml:space="preserve"> Verkehr ist ein relevanter Verursacher der bodennahen, photochemischen Ozonbildung. </t>
  </si>
  <si>
    <t>Die Berechnung der Umweltwirkungspotenziale im ÖkoWin-Tool basiert auf der Verknüpfung der von Ihnen eingegebenen spezifischen Daten mit den im ÖkoWin-Tool hinterlegten Emissionsfaktoren und vordefinierten Systemgrenzen.  So wird beispielsweise der von Ihnen angegebene spezifische Verbrauch an Streumitteln verknüpft mit den Emissionsfaktoren zur Herstellung von Streumitteln.  
Liegt der spezifische Verbrauch von Streumitteln für die angegebene funktionelle Einheit bei 1 Tonne, dann wird  das Treibhauspotenzials wie folgt berechnet:</t>
  </si>
  <si>
    <r>
      <t xml:space="preserve"> GHG-Emissionen</t>
    </r>
    <r>
      <rPr>
        <vertAlign val="subscript"/>
        <sz val="11"/>
        <color rgb="FF053D5F"/>
        <rFont val="Calibri"/>
        <family val="2"/>
        <scheme val="minor"/>
      </rPr>
      <t>Herstellung</t>
    </r>
    <r>
      <rPr>
        <sz val="11"/>
        <color rgb="FF053D5F"/>
        <rFont val="Calibri"/>
        <family val="2"/>
        <scheme val="minor"/>
      </rPr>
      <t xml:space="preserve"> (kg CO</t>
    </r>
    <r>
      <rPr>
        <vertAlign val="subscript"/>
        <sz val="11"/>
        <color rgb="FF053D5F"/>
        <rFont val="Calibri"/>
        <family val="2"/>
        <scheme val="minor"/>
      </rPr>
      <t>2</t>
    </r>
    <r>
      <rPr>
        <sz val="11"/>
        <color rgb="FF053D5F"/>
        <rFont val="Calibri"/>
        <family val="2"/>
        <scheme val="minor"/>
      </rPr>
      <t>Äq./funktionelle Einheit)=1000 kg Streumittel/funtionelle Einheit x Emissionsfaktor für die Herstellung(kg CO</t>
    </r>
    <r>
      <rPr>
        <vertAlign val="subscript"/>
        <sz val="11"/>
        <color rgb="FF053D5F"/>
        <rFont val="Calibri"/>
        <family val="2"/>
        <scheme val="minor"/>
      </rPr>
      <t>2</t>
    </r>
    <r>
      <rPr>
        <sz val="11"/>
        <color rgb="FF053D5F"/>
        <rFont val="Calibri"/>
        <family val="2"/>
        <scheme val="minor"/>
      </rPr>
      <t>Äq./kg Streumittel)</t>
    </r>
  </si>
  <si>
    <t>Voreingestellte Standardwerte, die Nutzer*innen ändern können</t>
  </si>
  <si>
    <t xml:space="preserve">Voreingestellte Standardwerte, die Nutzer*innen NICHT ändern können </t>
  </si>
  <si>
    <t>Keine Eingabe möglich oder automatische Ausgabe. Die Zelle enthält Formeln, die von Anwender*innen nicht geändert werden können.</t>
  </si>
  <si>
    <r>
      <t>CO</t>
    </r>
    <r>
      <rPr>
        <vertAlign val="subscript"/>
        <sz val="14"/>
        <color theme="1"/>
        <rFont val="Calibri"/>
        <family val="2"/>
        <scheme val="minor"/>
      </rPr>
      <t>2</t>
    </r>
    <r>
      <rPr>
        <sz val="11"/>
        <color theme="1"/>
        <rFont val="Calibri"/>
        <family val="2"/>
        <scheme val="minor"/>
      </rPr>
      <t>Äq.</t>
    </r>
  </si>
  <si>
    <t>Bezeichnung Meisterei/Bauhof</t>
  </si>
  <si>
    <t>Bundesland/Niederlassung</t>
  </si>
  <si>
    <t>Standort</t>
  </si>
  <si>
    <t>Bearbeiter*in(nen)</t>
  </si>
  <si>
    <t>Datum</t>
  </si>
  <si>
    <t>1. Allgemeine Angaben</t>
  </si>
  <si>
    <t xml:space="preserve">2. Eingabe der Bezugsgröße: Festlegung der räumlichen Komponente der funktionellen Einheit der Ökobilanz </t>
  </si>
  <si>
    <t xml:space="preserve">Geben Sie dazu das Anfangs- und Enddatum der Winterdienstaktivitäten ein, die sie bilanzieren möchten. </t>
  </si>
  <si>
    <t xml:space="preserve">Diese Angaben erleichtern Ihnen die Interpretation und Einordnung der Ergebnisse. Dies gilt im Besonderen, wenn Sie den Winterdienst von mehreren Winterperioden miteinander vergleichen wollen. </t>
  </si>
  <si>
    <t>Anteile Trockensalz, FS 30 und FS 100 der betrachteten Winterdienstaktivitäten (Einsätze in Prozent, geschätzt)</t>
  </si>
  <si>
    <t xml:space="preserve">Für den Fall, dass Biodiesel in Kraftstoffmischungen verwendet wird, berechnen Sie bitte den Anteil Biodiesel und den Anteil Diesel und tragen diese dann ein. </t>
  </si>
  <si>
    <t>Menge an transportiertem Streumittel (Tonnen)</t>
  </si>
  <si>
    <r>
      <t>GWP (kg CO</t>
    </r>
    <r>
      <rPr>
        <b/>
        <vertAlign val="subscript"/>
        <sz val="11"/>
        <color theme="0"/>
        <rFont val="Calibri"/>
        <family val="2"/>
        <scheme val="minor"/>
      </rPr>
      <t>2</t>
    </r>
    <r>
      <rPr>
        <b/>
        <sz val="11"/>
        <color theme="0"/>
        <rFont val="Calibri"/>
        <family val="2"/>
        <scheme val="minor"/>
      </rPr>
      <t>Äq.  /  Tonne)</t>
    </r>
  </si>
  <si>
    <t>AP (mol H+ Äq. / Tonne)</t>
  </si>
  <si>
    <t>ODP (kg FCKW-11 Äq. / Tonne)</t>
  </si>
  <si>
    <t>POCP (kg NMVOC Äq. / Tonne)</t>
  </si>
  <si>
    <r>
      <t>GWP (kg CO</t>
    </r>
    <r>
      <rPr>
        <b/>
        <vertAlign val="subscript"/>
        <sz val="11"/>
        <color theme="0"/>
        <rFont val="Calibri"/>
        <family val="2"/>
        <scheme val="minor"/>
      </rPr>
      <t>2</t>
    </r>
    <r>
      <rPr>
        <b/>
        <sz val="11"/>
        <color theme="0"/>
        <rFont val="Calibri"/>
        <family val="2"/>
        <scheme val="minor"/>
      </rPr>
      <t>Äq.  / tkm)</t>
    </r>
  </si>
  <si>
    <t>AP (mol H+ Äq. / tkm)</t>
  </si>
  <si>
    <t>ODP (kg FCKW-11 Äq. / tkm)</t>
  </si>
  <si>
    <t>POCP (kg NMVOC Äq. / tkm)</t>
  </si>
  <si>
    <t>Emissionsfakoren für die Ausbringung (Bereitstellung der Kraftstoffe und direkte Emissionen des Fahrzeugbetriebes)</t>
  </si>
  <si>
    <t>Die Emissionsfaktoren bilden die Emissionen aus der Herstellung der Kraftstoffe und die direkten Emissionen des Fahrzeugbetriebes bei der Ausbringung einschließlich Leer- und Kontrollfahrten ab</t>
  </si>
  <si>
    <r>
      <t>GWP (kg CO</t>
    </r>
    <r>
      <rPr>
        <b/>
        <vertAlign val="subscript"/>
        <sz val="11"/>
        <color theme="0"/>
        <rFont val="Calibri"/>
        <family val="2"/>
        <scheme val="minor"/>
      </rPr>
      <t>2</t>
    </r>
    <r>
      <rPr>
        <b/>
        <sz val="11"/>
        <color theme="0"/>
        <rFont val="Calibri"/>
        <family val="2"/>
        <scheme val="minor"/>
      </rPr>
      <t>Äq. / Einheit)</t>
    </r>
  </si>
  <si>
    <t>AP (mol H+ Äq. / Einheit)</t>
  </si>
  <si>
    <t>ODP (kg FCKW-11 Äq. / Einheit)</t>
  </si>
  <si>
    <t>POCP (kg NMVOC Äq. / Einheit)</t>
  </si>
  <si>
    <t>Emissionsfaktoren zur Herstellung der Streumittel (trocken und Sole)</t>
  </si>
  <si>
    <t>Annahmen zur konzentrierten Fremdsole</t>
  </si>
  <si>
    <t>Emissionsfakoren für den Antransport der Streumittel</t>
  </si>
  <si>
    <t>Fahrzeug (Fahrzeugtyp, zulässiges Gesamtgewicht, Abgasnorm, Kraftstoff)</t>
  </si>
  <si>
    <t>Einheit</t>
  </si>
  <si>
    <t>Emissionsfakoren der Energiebereitstellung</t>
  </si>
  <si>
    <r>
      <t>GWP (kg CO</t>
    </r>
    <r>
      <rPr>
        <b/>
        <vertAlign val="subscript"/>
        <sz val="11"/>
        <color theme="0"/>
        <rFont val="Calibri"/>
        <family val="2"/>
        <scheme val="minor"/>
      </rPr>
      <t>2</t>
    </r>
    <r>
      <rPr>
        <b/>
        <sz val="11"/>
        <color theme="0"/>
        <rFont val="Calibri"/>
        <family val="2"/>
        <scheme val="minor"/>
      </rPr>
      <t>Äq.  / kWh)</t>
    </r>
  </si>
  <si>
    <t>AP (mol H+ Äq. / kWh)</t>
  </si>
  <si>
    <t>ODP (kg FCKW-11 Äq. / kWh)</t>
  </si>
  <si>
    <t>POCP (kg NMVOC Äq. / kWh)</t>
  </si>
  <si>
    <r>
      <t>GWP (kg CO</t>
    </r>
    <r>
      <rPr>
        <b/>
        <vertAlign val="subscript"/>
        <sz val="11"/>
        <color theme="0"/>
        <rFont val="Calibri"/>
        <family val="2"/>
        <scheme val="minor"/>
      </rPr>
      <t>2</t>
    </r>
    <r>
      <rPr>
        <b/>
        <sz val="11"/>
        <color theme="0"/>
        <rFont val="Calibri"/>
        <family val="2"/>
        <scheme val="minor"/>
      </rPr>
      <t>Äq.  / MJ)</t>
    </r>
  </si>
  <si>
    <t>AP (mol H+ Äq. / MJ)</t>
  </si>
  <si>
    <t>ODP (kg FCKQ-11 Äq. / MJ)</t>
  </si>
  <si>
    <t>POCP (kg NMVOC Äq. / MJ)</t>
  </si>
  <si>
    <r>
      <t>GWP (kg CO</t>
    </r>
    <r>
      <rPr>
        <b/>
        <vertAlign val="subscript"/>
        <sz val="11"/>
        <color theme="0"/>
        <rFont val="Calibri"/>
        <family val="2"/>
        <scheme val="minor"/>
      </rPr>
      <t>2</t>
    </r>
    <r>
      <rPr>
        <b/>
        <sz val="11"/>
        <color theme="0"/>
        <rFont val="Calibri"/>
        <family val="2"/>
        <scheme val="minor"/>
      </rPr>
      <t>Äq.  / Einheit)</t>
    </r>
  </si>
  <si>
    <r>
      <t>GWP (kg CO</t>
    </r>
    <r>
      <rPr>
        <b/>
        <vertAlign val="subscript"/>
        <sz val="11"/>
        <color theme="0"/>
        <rFont val="Calibri"/>
        <family val="2"/>
        <scheme val="minor"/>
      </rPr>
      <t>2</t>
    </r>
    <r>
      <rPr>
        <b/>
        <sz val="11"/>
        <color theme="0"/>
        <rFont val="Calibri"/>
        <family val="2"/>
        <scheme val="minor"/>
      </rPr>
      <t>Äq.   / Liter)</t>
    </r>
  </si>
  <si>
    <t>AP (mol H+ Äq.  / Liter)</t>
  </si>
  <si>
    <t>ODP (kg CFC11 Äq.  / Liter)</t>
  </si>
  <si>
    <t>POCP (kg NMVOC Äq.  / Liter)</t>
  </si>
  <si>
    <t>Bezeichnung</t>
  </si>
  <si>
    <t>Eigene Modellierung basierend auf  [3], Hintergrunddatenbank: ÖkobauDat, ELCD, Gemis 5.1</t>
  </si>
  <si>
    <t>Eigene Modellierung basierend auf [6] und [3]; Hintergrunddatenbank: ÖkobauDat, ELCD, Gemis 5.1</t>
  </si>
  <si>
    <t xml:space="preserve">Eigene Modellierung basierend auf dem Prozessschritt Solegewinnung aus der Siedesalz-Herstellung </t>
  </si>
  <si>
    <t xml:space="preserve">Näherung, da kein Datensatz zu MgCl2-Sole identifiziert werden konnte: wie Sole_NaCl, konzentrierte Fremdsole </t>
  </si>
  <si>
    <t>Berechnet auf der Basis von Natriumclorid, trocken, aus Steinsalz. Annahme Konzentration: 26%</t>
  </si>
  <si>
    <t>Mittelwert aus [15] und [16]</t>
  </si>
  <si>
    <t>Kraftstoffbezogen, keinen Unterschied zwischen Lkw und Pkw</t>
  </si>
  <si>
    <t>Eigene Berechnung basierend auf eigenen Annahmen und [22]</t>
  </si>
  <si>
    <t xml:space="preserve">Das Tool enthält VBA-Makros. Bitte speichern Sie als erstes das Tool auf ihrem Computer ab. </t>
  </si>
  <si>
    <t xml:space="preserve">Das Tool ermöglicht die Erstellung einer orientierenden Ökobilanz des Straßenwinterdienstes. Dabei können einzelne Einsätze und Zeiträume sowie Gebiete, in denen der Winterdienst erfolgt ist, abgebildet werden. Das Tool kann darüber hinaus auch für die Planung und für Investitionsentscheidungen im Rahmen des Winterdienstes genutzt werden. 
Mit dem Tool können die potenziellen Umweltauswirkungen des Winterdienstes entlang des Lebensweges abgebildet und darüber hinaus die besonders umweltrelevanten Prozesse innerhalb der Systemgrenzen identifiziert werden. Es soll außerdem die Ermittlung der Beiträge der unterschiedlichen Prozesse zu den  potenziellen Umweltauswirkungen des Winterdienstes ermöglichen. </t>
  </si>
  <si>
    <t xml:space="preserve">Das Tool adressiert vor allem zwei Zielgruppen:
Zum einen ist das Tool für Straßen- und Autobahnmeistereien sowie andere Winterdienstverantwortliche gedacht, d.h. Organisationen oder Organisationseinheiten, die den Winterdienst durchführen. 
Zum anderen kann das Tool auch im Rahmen von Beschaffungsprozessen genutzt werden.  Verantwortliche im Rahmen der öffentlichen Beschaffung können mit dem Tool bei Entscheidungen zu Streumitteln oder der Streutechnik unterstützt werden. </t>
  </si>
  <si>
    <r>
      <t xml:space="preserve">Ziel des Tools ist es </t>
    </r>
    <r>
      <rPr>
        <b/>
        <sz val="11"/>
        <rFont val="Calibri"/>
        <family val="2"/>
        <scheme val="minor"/>
      </rPr>
      <t>nicht</t>
    </r>
    <r>
      <rPr>
        <sz val="11"/>
        <rFont val="Calibri"/>
        <family val="2"/>
        <scheme val="minor"/>
      </rPr>
      <t xml:space="preserve">, die Umweltauswrkungen des Winterdienstes unterschiedlicher Systeme miteinander zu vergleichen, beispielsweise unterschiedlicher Straßenmeisterreien. </t>
    </r>
  </si>
  <si>
    <t>• Blatt "Einleitung": Beschreibung der allgemeinen Eckpunkte und Rahmenbedingungen der Ökobilanzierung mit dem ÖkoWin-Tool</t>
  </si>
  <si>
    <t>• Blatt "Emissionsfaktoren": Dokumentation der hinterlegten Emissionsfaktoren und der voreingestellten Standardwerte</t>
  </si>
  <si>
    <t xml:space="preserve">Grundsätzlich wird in einer Ökobilanz angestrebt, den gesamten Lebensweg – von der Rohstoffgewinnung bis zur Entsorgung – einzubeziehen und mit entsprechenden Prozessmodulen abzubilden. </t>
  </si>
  <si>
    <t>Mit der Festlegung der Systemgrenzen wird bestimmt, welche Prozesse in der Berechnung der Ökobilanz berücksichtigt werden und welche nicht</t>
  </si>
  <si>
    <t>• Eine etwaige Verpackung von trockenen Streumitteln</t>
  </si>
  <si>
    <t>Als Messwerte gelten z.B. Stromrechnungen, Lieferscheine, abgelesene Werte an Tanksäulen</t>
  </si>
  <si>
    <t>Auf Basis von Literaturquellen, Informationen aus dem Internet (z.B. Herstellerangaben) oder Aussagen von Expert*innen, z.B. zum Wasserverbrauch für die Fahrzeug- und Streumaschinenreinigung</t>
  </si>
  <si>
    <t xml:space="preserve">Geben Sie nachfolgend bitte Details zum Winterdienst und zu seinen spezifischen Bedingungen ein. Beziehen Sie sich dabei auf die oben von Ihnen angegebene funktionelle Einheit (d.h. Zeitraum und Streufläche). 
</t>
  </si>
  <si>
    <t xml:space="preserve">BMVI (2019): Leitfaden für die Dimensionierung von Tausalzlagern Leitfaden TAUSALA. Hrsg: Bundesministerium für Verkehr und digitale Infrastruktur. Veröffentlicht auf BASt-Homepage, Link: https://www.bast.de/DE/Verkehrstechnik/Fachthemen/Daten/tausala-leitfaden.pdf?__blob=publicationFile&amp;v=4 zuletzt abgerufen am 03.10.2023	</t>
  </si>
  <si>
    <t>Stratmann, Britta; Quack, Dietlinde (2009): Vergleichende Ökobilanz drei verschiedener Auftausalze: Steinsalz, Siedesalz und Meersalz. Im Auftrag der Südsalz GmbH, Heilbronn. Unter Mitarbeit von Franz Götzfried, Florian Knappe, Gero Morlock und Eörs Kondorosy. Öko-Institut e. V. Freiburg</t>
  </si>
  <si>
    <t>Smith, C., Z.R.J. Nicholls, K. Armour, W. Collins, P. Forster, M. Meinshausen, M.D. Palmer, M. Watanabe (2021): The Earth’s Energy Budget, Climate Feedbacks, and Climate Sensitivity Supplementary Material. In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Available from https://www.ipcc.ch/; https://www.ipcc.ch/report/ar6/wg1/downloads/report/IPCC_AR6_WGI_Chapter07_SM.pdf</t>
  </si>
  <si>
    <t>Anteile präventiver und kurativer Maßnahmen der betrachteten Winterdienstaktivitäten (Einsätze in Prozent, geschätzt)</t>
  </si>
  <si>
    <t>Gibt es interne Salz- und Soletransporte sowie Umschlagsprozesse? Wenn ja, diese bitte kurz beschreiben.</t>
  </si>
  <si>
    <t>Dieses Tool ist im elektronischen BASt-Archiv ELBA unter https://bast.opus.hbz-nrw.de beim Bericht V 403 abrufbar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</si>
</sst>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m²&quot;"/>
    <numFmt numFmtId="165" formatCode="0.0E+00"/>
    <numFmt numFmtId="166" formatCode="0.0000"/>
    <numFmt numFmtId="167" formatCode="0.000"/>
    <numFmt numFmtId="168" formatCode="0.0%"/>
    <numFmt numFmtId="169" formatCode="[&gt;=0.01]#,##0.00;0.00E+00"/>
    <numFmt numFmtId="170" formatCode="[&gt;=0.01]#,##0;0E+00"/>
  </numFmts>
  <fonts count="6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4"/>
      <color rgb="FF000000"/>
      <name val="Calibri"/>
      <family val="2"/>
      <scheme val="minor"/>
    </font>
    <font>
      <sz val="14"/>
      <color theme="1"/>
      <name val="Calibri"/>
      <family val="2"/>
      <scheme val="minor"/>
    </font>
    <font>
      <sz val="14"/>
      <color rgb="FFFF0000"/>
      <name val="Calibri"/>
      <family val="2"/>
      <scheme val="minor"/>
    </font>
    <font>
      <b/>
      <sz val="18"/>
      <color rgb="FF7030A0"/>
      <name val="Calibri"/>
      <family val="2"/>
      <scheme val="minor"/>
    </font>
    <font>
      <b/>
      <sz val="12"/>
      <color theme="0"/>
      <name val="Arial"/>
      <family val="2"/>
    </font>
    <font>
      <vertAlign val="subscript"/>
      <sz val="14"/>
      <color theme="1"/>
      <name val="Calibri"/>
      <family val="2"/>
      <scheme val="minor"/>
    </font>
    <font>
      <sz val="11"/>
      <name val="Calibri"/>
      <family val="2"/>
      <scheme val="minor"/>
    </font>
    <font>
      <b/>
      <sz val="11"/>
      <name val="Calibri"/>
      <family val="2"/>
      <scheme val="minor"/>
    </font>
    <font>
      <b/>
      <sz val="14"/>
      <color rgb="FF7030A0"/>
      <name val="Calibri"/>
      <family val="2"/>
      <scheme val="minor"/>
    </font>
    <font>
      <b/>
      <sz val="11"/>
      <color rgb="FF0070C0"/>
      <name val="Calibri"/>
      <family val="2"/>
      <scheme val="minor"/>
    </font>
    <font>
      <sz val="11"/>
      <color rgb="FF002060"/>
      <name val="Calibri"/>
      <family val="2"/>
      <scheme val="minor"/>
    </font>
    <font>
      <vertAlign val="subscript"/>
      <sz val="11"/>
      <color theme="1"/>
      <name val="Calibri"/>
      <family val="2"/>
      <scheme val="minor"/>
    </font>
    <font>
      <b/>
      <u/>
      <sz val="11"/>
      <color rgb="FF0070C0"/>
      <name val="Calibri"/>
      <family val="2"/>
      <scheme val="minor"/>
    </font>
    <font>
      <b/>
      <u/>
      <sz val="14"/>
      <color rgb="FF0070C0"/>
      <name val="Calibri"/>
      <family val="2"/>
      <scheme val="minor"/>
    </font>
    <font>
      <b/>
      <sz val="14"/>
      <color rgb="FF0070C0"/>
      <name val="Calibri"/>
      <family val="2"/>
      <scheme val="minor"/>
    </font>
    <font>
      <vertAlign val="superscript"/>
      <sz val="11"/>
      <color theme="1"/>
      <name val="Calibri"/>
      <family val="2"/>
      <scheme val="minor"/>
    </font>
    <font>
      <sz val="8"/>
      <name val="Calibri"/>
      <family val="2"/>
      <scheme val="minor"/>
    </font>
    <font>
      <b/>
      <sz val="10"/>
      <color theme="0"/>
      <name val="Arial"/>
      <family val="2"/>
    </font>
    <font>
      <sz val="11"/>
      <color rgb="FF053D5F"/>
      <name val="Calibri"/>
      <family val="2"/>
      <scheme val="minor"/>
    </font>
    <font>
      <b/>
      <sz val="12"/>
      <color rgb="FF7030A0"/>
      <name val="Calibri"/>
      <family val="2"/>
      <scheme val="minor"/>
    </font>
    <font>
      <i/>
      <sz val="11"/>
      <color theme="1"/>
      <name val="Calibri"/>
      <family val="2"/>
      <scheme val="minor"/>
    </font>
    <font>
      <i/>
      <sz val="11"/>
      <color rgb="FF000000"/>
      <name val="Calibri"/>
      <family val="2"/>
      <scheme val="minor"/>
    </font>
    <font>
      <sz val="14"/>
      <name val="Calibri"/>
      <family val="2"/>
      <scheme val="minor"/>
    </font>
    <font>
      <vertAlign val="subscript"/>
      <sz val="11"/>
      <color rgb="FF053D5F"/>
      <name val="Calibri"/>
      <family val="2"/>
      <scheme val="minor"/>
    </font>
    <font>
      <b/>
      <u/>
      <sz val="11"/>
      <name val="Calibri"/>
      <family val="2"/>
      <scheme val="minor"/>
    </font>
    <font>
      <b/>
      <sz val="16"/>
      <color rgb="FF7030A0"/>
      <name val="Calibri"/>
      <family val="2"/>
      <scheme val="minor"/>
    </font>
    <font>
      <u/>
      <sz val="11"/>
      <color theme="1"/>
      <name val="Calibri"/>
      <family val="2"/>
      <scheme val="minor"/>
    </font>
    <font>
      <b/>
      <u/>
      <sz val="14"/>
      <name val="Calibri"/>
      <family val="2"/>
      <scheme val="minor"/>
    </font>
    <font>
      <sz val="16"/>
      <color theme="1"/>
      <name val="Calibri"/>
      <family val="2"/>
      <scheme val="minor"/>
    </font>
    <font>
      <b/>
      <u/>
      <sz val="11"/>
      <color theme="1"/>
      <name val="Calibri"/>
      <family val="2"/>
      <scheme val="minor"/>
    </font>
    <font>
      <sz val="16"/>
      <color rgb="FFFF0000"/>
      <name val="Calibri"/>
      <family val="2"/>
      <scheme val="minor"/>
    </font>
    <font>
      <b/>
      <sz val="16"/>
      <color theme="1"/>
      <name val="Calibri"/>
      <family val="2"/>
      <scheme val="minor"/>
    </font>
    <font>
      <sz val="11"/>
      <color theme="0"/>
      <name val="Calibri"/>
      <family val="2"/>
      <scheme val="minor"/>
    </font>
    <font>
      <strike/>
      <sz val="11"/>
      <color rgb="FFFF0000"/>
      <name val="Calibri"/>
      <family val="2"/>
      <scheme val="minor"/>
    </font>
    <font>
      <b/>
      <sz val="11"/>
      <color rgb="FFFF0000"/>
      <name val="Calibri"/>
      <family val="2"/>
      <scheme val="minor"/>
    </font>
    <font>
      <sz val="20"/>
      <color theme="1"/>
      <name val="Calibri"/>
      <family val="2"/>
      <scheme val="minor"/>
    </font>
    <font>
      <sz val="18"/>
      <color theme="1"/>
      <name val="Calibri"/>
      <family val="2"/>
      <scheme val="minor"/>
    </font>
    <font>
      <b/>
      <sz val="22"/>
      <color rgb="FF7030A0"/>
      <name val="Calibri"/>
      <family val="2"/>
      <scheme val="minor"/>
    </font>
    <font>
      <sz val="22"/>
      <color theme="1"/>
      <name val="Calibri"/>
      <family val="2"/>
      <scheme val="minor"/>
    </font>
    <font>
      <b/>
      <u/>
      <sz val="21"/>
      <color theme="1"/>
      <name val="Calibri"/>
      <family val="2"/>
      <scheme val="minor"/>
    </font>
    <font>
      <sz val="21"/>
      <color theme="1"/>
      <name val="Calibri"/>
      <family val="2"/>
      <scheme val="minor"/>
    </font>
    <font>
      <sz val="21"/>
      <name val="Calibri"/>
      <family val="2"/>
      <scheme val="minor"/>
    </font>
    <font>
      <b/>
      <u/>
      <sz val="21"/>
      <name val="Calibri"/>
      <family val="2"/>
      <scheme val="minor"/>
    </font>
    <font>
      <b/>
      <sz val="21"/>
      <color theme="0"/>
      <name val="Calibri"/>
      <family val="2"/>
      <scheme val="minor"/>
    </font>
    <font>
      <b/>
      <vertAlign val="subscript"/>
      <sz val="21"/>
      <color theme="0"/>
      <name val="Calibri"/>
      <family val="2"/>
      <scheme val="minor"/>
    </font>
    <font>
      <b/>
      <sz val="21"/>
      <color theme="1"/>
      <name val="Arial"/>
      <family val="2"/>
    </font>
    <font>
      <sz val="21"/>
      <color theme="1"/>
      <name val="Arial"/>
      <family val="2"/>
    </font>
    <font>
      <b/>
      <sz val="21"/>
      <color theme="1"/>
      <name val="Calibri"/>
      <family val="2"/>
      <scheme val="minor"/>
    </font>
    <font>
      <sz val="21"/>
      <color theme="0"/>
      <name val="Calibri"/>
      <family val="2"/>
      <scheme val="minor"/>
    </font>
    <font>
      <b/>
      <sz val="22"/>
      <color theme="1"/>
      <name val="Calibri"/>
      <family val="2"/>
      <scheme val="minor"/>
    </font>
    <font>
      <sz val="22"/>
      <name val="Calibri"/>
      <family val="2"/>
      <scheme val="minor"/>
    </font>
    <font>
      <sz val="16"/>
      <color rgb="FF0000FF"/>
      <name val="Calibri"/>
      <family val="2"/>
    </font>
    <font>
      <sz val="26"/>
      <color rgb="FF0000FF"/>
      <name val="Calibri"/>
      <family val="2"/>
    </font>
    <font>
      <b/>
      <vertAlign val="subscript"/>
      <sz val="11"/>
      <color theme="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66"/>
        <bgColor indexed="64"/>
      </patternFill>
    </fill>
    <fill>
      <patternFill patternType="solid">
        <fgColor rgb="FFCCFF99"/>
        <bgColor indexed="64"/>
      </patternFill>
    </fill>
    <fill>
      <patternFill patternType="solid">
        <fgColor rgb="FF92D050"/>
        <bgColor indexed="64"/>
      </patternFill>
    </fill>
    <fill>
      <patternFill patternType="solid">
        <fgColor theme="8" tint="0.59999389629810485"/>
        <bgColor indexed="64"/>
      </patternFill>
    </fill>
    <fill>
      <patternFill patternType="solid">
        <fgColor rgb="FFCCFFCC"/>
        <bgColor indexed="64"/>
      </patternFill>
    </fill>
    <fill>
      <patternFill patternType="solid">
        <fgColor theme="8" tint="-0.249977111117893"/>
        <bgColor theme="4"/>
      </patternFill>
    </fill>
    <fill>
      <patternFill patternType="solid">
        <fgColor theme="8" tint="-0.249977111117893"/>
        <bgColor indexed="64"/>
      </patternFill>
    </fill>
    <fill>
      <patternFill patternType="solid">
        <fgColor theme="0"/>
        <bgColor theme="0"/>
      </patternFill>
    </fill>
    <fill>
      <patternFill patternType="solid">
        <fgColor theme="4"/>
        <bgColor theme="4"/>
      </patternFill>
    </fill>
    <fill>
      <patternFill patternType="solid">
        <fgColor theme="0" tint="-0.249977111117893"/>
        <bgColor indexed="64"/>
      </patternFill>
    </fill>
    <fill>
      <patternFill patternType="solid">
        <fgColor rgb="FFCCFFFF"/>
        <bgColor indexed="64"/>
      </patternFill>
    </fill>
    <fill>
      <patternFill patternType="solid">
        <fgColor rgb="FF66CCFF"/>
        <bgColor indexed="64"/>
      </patternFill>
    </fill>
    <fill>
      <patternFill patternType="solid">
        <fgColor rgb="FF3399FF"/>
        <bgColor indexed="64"/>
      </patternFill>
    </fill>
    <fill>
      <patternFill patternType="solid">
        <fgColor rgb="FF0066FF"/>
        <bgColor indexed="64"/>
      </patternFill>
    </fill>
    <fill>
      <patternFill patternType="solid">
        <fgColor rgb="FF00FFFF"/>
        <bgColor indexed="64"/>
      </patternFill>
    </fill>
    <fill>
      <patternFill patternType="solid">
        <fgColor rgb="FF6699FF"/>
        <bgColor indexed="64"/>
      </patternFill>
    </fill>
    <fill>
      <patternFill patternType="solid">
        <fgColor rgb="FF66FF33"/>
        <bgColor indexed="64"/>
      </patternFill>
    </fill>
    <fill>
      <patternFill patternType="solid">
        <fgColor rgb="FFCCFF66"/>
        <bgColor indexed="64"/>
      </patternFill>
    </fill>
    <fill>
      <patternFill patternType="solid">
        <fgColor rgb="FF66FF99"/>
        <bgColor indexed="64"/>
      </patternFill>
    </fill>
    <fill>
      <patternFill patternType="solid">
        <fgColor rgb="FFFFCCCC"/>
        <bgColor indexed="64"/>
      </patternFill>
    </fill>
    <fill>
      <patternFill patternType="solid">
        <fgColor rgb="FFFFCC99"/>
        <bgColor indexed="64"/>
      </patternFill>
    </fill>
    <fill>
      <patternFill patternType="solid">
        <fgColor rgb="FFFFCC66"/>
        <bgColor indexed="64"/>
      </patternFill>
    </fill>
    <fill>
      <patternFill patternType="solid">
        <fgColor rgb="FFFFCC00"/>
        <bgColor indexed="64"/>
      </patternFill>
    </fill>
    <fill>
      <patternFill patternType="solid">
        <fgColor rgb="FFFF9900"/>
        <bgColor indexed="64"/>
      </patternFill>
    </fill>
    <fill>
      <patternFill patternType="solid">
        <fgColor rgb="FFFF6600"/>
        <bgColor indexed="64"/>
      </patternFill>
    </fill>
    <fill>
      <patternFill patternType="solid">
        <fgColor rgb="FFFF5050"/>
        <bgColor indexed="64"/>
      </patternFill>
    </fill>
    <fill>
      <patternFill patternType="solid">
        <fgColor rgb="FFCC66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theme="4" tint="0.79998168889431442"/>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8" tint="0.79998168889431442"/>
        <bgColor indexed="64"/>
      </patternFill>
    </fill>
  </fills>
  <borders count="26">
    <border>
      <left/>
      <right/>
      <top/>
      <bottom/>
      <diagonal/>
    </border>
    <border>
      <left/>
      <right/>
      <top/>
      <bottom style="medium">
        <color rgb="FF00B0F0"/>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right/>
      <top/>
      <bottom style="thin">
        <color theme="8" tint="-0.249977111117893"/>
      </bottom>
      <diagonal/>
    </border>
    <border>
      <left/>
      <right/>
      <top style="thin">
        <color theme="8" tint="-0.249977111117893"/>
      </top>
      <bottom/>
      <diagonal/>
    </border>
    <border>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style="thin">
        <color theme="4" tint="0.39997558519241921"/>
      </bottom>
      <diagonal/>
    </border>
    <border>
      <left style="dotted">
        <color theme="8" tint="-0.249977111117893"/>
      </left>
      <right/>
      <top style="dotted">
        <color theme="8" tint="-0.249977111117893"/>
      </top>
      <bottom/>
      <diagonal/>
    </border>
    <border>
      <left/>
      <right/>
      <top style="dotted">
        <color theme="8" tint="-0.249977111117893"/>
      </top>
      <bottom/>
      <diagonal/>
    </border>
    <border>
      <left/>
      <right style="dotted">
        <color theme="8" tint="-0.249977111117893"/>
      </right>
      <top style="dotted">
        <color theme="8" tint="-0.249977111117893"/>
      </top>
      <bottom/>
      <diagonal/>
    </border>
    <border>
      <left style="dotted">
        <color theme="8" tint="-0.249977111117893"/>
      </left>
      <right/>
      <top/>
      <bottom/>
      <diagonal/>
    </border>
    <border>
      <left/>
      <right style="dotted">
        <color theme="8" tint="-0.249977111117893"/>
      </right>
      <top/>
      <bottom/>
      <diagonal/>
    </border>
    <border>
      <left style="dotted">
        <color theme="8" tint="-0.249977111117893"/>
      </left>
      <right/>
      <top/>
      <bottom style="dotted">
        <color theme="8" tint="-0.249977111117893"/>
      </bottom>
      <diagonal/>
    </border>
    <border>
      <left/>
      <right/>
      <top/>
      <bottom style="dotted">
        <color theme="8" tint="-0.249977111117893"/>
      </bottom>
      <diagonal/>
    </border>
    <border>
      <left/>
      <right style="dotted">
        <color theme="8" tint="-0.249977111117893"/>
      </right>
      <top/>
      <bottom style="dotted">
        <color theme="8" tint="-0.249977111117893"/>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439">
    <xf numFmtId="0" fontId="0" fillId="0" borderId="0" xfId="0"/>
    <xf numFmtId="0" fontId="3" fillId="0" borderId="0" xfId="0" applyFont="1"/>
    <xf numFmtId="0" fontId="0" fillId="3" borderId="0" xfId="0" applyFill="1"/>
    <xf numFmtId="0" fontId="9" fillId="3" borderId="0" xfId="0" applyFont="1" applyFill="1"/>
    <xf numFmtId="0" fontId="7" fillId="3" borderId="0" xfId="0" applyFont="1" applyFill="1"/>
    <xf numFmtId="0" fontId="0" fillId="3" borderId="1" xfId="0" applyFill="1" applyBorder="1"/>
    <xf numFmtId="0" fontId="10" fillId="0" borderId="0" xfId="2" applyFont="1" applyAlignment="1">
      <alignment vertical="center"/>
    </xf>
    <xf numFmtId="0" fontId="9" fillId="0" borderId="0" xfId="0" applyFont="1"/>
    <xf numFmtId="0" fontId="0" fillId="0" borderId="2" xfId="0" applyBorder="1"/>
    <xf numFmtId="0" fontId="0" fillId="0" borderId="0" xfId="0" applyAlignment="1">
      <alignment horizontal="right" vertical="center"/>
    </xf>
    <xf numFmtId="0" fontId="3" fillId="3" borderId="1" xfId="0" applyFont="1" applyFill="1" applyBorder="1"/>
    <xf numFmtId="0" fontId="0" fillId="0" borderId="10" xfId="0" applyBorder="1"/>
    <xf numFmtId="0" fontId="0" fillId="0" borderId="9" xfId="0" applyBorder="1"/>
    <xf numFmtId="0" fontId="0" fillId="0" borderId="6" xfId="0" applyBorder="1"/>
    <xf numFmtId="0" fontId="0" fillId="0" borderId="7" xfId="0" applyBorder="1"/>
    <xf numFmtId="0" fontId="0" fillId="0" borderId="14" xfId="0" applyBorder="1"/>
    <xf numFmtId="0" fontId="0" fillId="0" borderId="8" xfId="0" applyBorder="1"/>
    <xf numFmtId="0" fontId="0" fillId="0" borderId="15" xfId="0" applyBorder="1"/>
    <xf numFmtId="0" fontId="0" fillId="13" borderId="0" xfId="0" applyFill="1"/>
    <xf numFmtId="0" fontId="10" fillId="0" borderId="15" xfId="2" applyFont="1" applyBorder="1" applyAlignment="1">
      <alignment vertical="center"/>
    </xf>
    <xf numFmtId="0" fontId="10" fillId="0" borderId="6" xfId="2" applyFont="1" applyBorder="1" applyAlignment="1">
      <alignment vertical="center"/>
    </xf>
    <xf numFmtId="0" fontId="10" fillId="0" borderId="8" xfId="2" applyFont="1" applyBorder="1" applyAlignment="1">
      <alignment vertical="center"/>
    </xf>
    <xf numFmtId="0" fontId="10" fillId="0" borderId="0" xfId="2" applyFont="1" applyBorder="1" applyAlignment="1">
      <alignment vertical="center"/>
    </xf>
    <xf numFmtId="0" fontId="19" fillId="0" borderId="5" xfId="0" applyFont="1" applyBorder="1"/>
    <xf numFmtId="0" fontId="0" fillId="0" borderId="0" xfId="0" applyBorder="1"/>
    <xf numFmtId="0" fontId="0" fillId="0" borderId="7" xfId="2" quotePrefix="1" applyFont="1" applyBorder="1"/>
    <xf numFmtId="0" fontId="3" fillId="0" borderId="0" xfId="0" applyFont="1" applyBorder="1"/>
    <xf numFmtId="0" fontId="7" fillId="0" borderId="0" xfId="0" applyFont="1" applyBorder="1"/>
    <xf numFmtId="0" fontId="7" fillId="0" borderId="15" xfId="0" applyFont="1" applyBorder="1"/>
    <xf numFmtId="0" fontId="7" fillId="0" borderId="7" xfId="0" applyFont="1" applyBorder="1"/>
    <xf numFmtId="0" fontId="7" fillId="4" borderId="7" xfId="0" applyFont="1" applyFill="1" applyBorder="1" applyAlignment="1">
      <alignment vertical="center"/>
    </xf>
    <xf numFmtId="0" fontId="7" fillId="0" borderId="7" xfId="0" applyFont="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0" borderId="6" xfId="0" applyFont="1" applyBorder="1"/>
    <xf numFmtId="0" fontId="7" fillId="0" borderId="8" xfId="0" applyFont="1" applyBorder="1"/>
    <xf numFmtId="0" fontId="2" fillId="12" borderId="2" xfId="0" applyFont="1" applyFill="1" applyBorder="1" applyAlignment="1">
      <alignment horizontal="left" vertical="center" wrapText="1"/>
    </xf>
    <xf numFmtId="0" fontId="19" fillId="0" borderId="7" xfId="0" applyFont="1" applyBorder="1"/>
    <xf numFmtId="0" fontId="12" fillId="0" borderId="7" xfId="0" applyFont="1" applyBorder="1"/>
    <xf numFmtId="0" fontId="0"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24" fillId="2" borderId="0" xfId="0" applyFont="1" applyFill="1" applyBorder="1" applyAlignment="1">
      <alignment vertical="top" wrapText="1"/>
    </xf>
    <xf numFmtId="0" fontId="24" fillId="2" borderId="0" xfId="0" applyFont="1" applyFill="1" applyBorder="1" applyAlignment="1">
      <alignment vertical="top"/>
    </xf>
    <xf numFmtId="0" fontId="0" fillId="0" borderId="0" xfId="0" applyFill="1" applyBorder="1"/>
    <xf numFmtId="0" fontId="0" fillId="0" borderId="7" xfId="2" quotePrefix="1" applyFont="1" applyBorder="1" applyAlignment="1">
      <alignment horizontal="left" vertical="top" wrapText="1"/>
    </xf>
    <xf numFmtId="0" fontId="0" fillId="0" borderId="0" xfId="2" quotePrefix="1" applyFont="1" applyBorder="1" applyAlignment="1">
      <alignment horizontal="left" vertical="top" wrapText="1"/>
    </xf>
    <xf numFmtId="0" fontId="0" fillId="0" borderId="8" xfId="2" quotePrefix="1" applyFont="1" applyBorder="1" applyAlignment="1">
      <alignment horizontal="left" vertical="top" wrapText="1"/>
    </xf>
    <xf numFmtId="0" fontId="0" fillId="0" borderId="0" xfId="0" applyFont="1" applyBorder="1"/>
    <xf numFmtId="0" fontId="0" fillId="23" borderId="0" xfId="0" applyFill="1"/>
    <xf numFmtId="0" fontId="10" fillId="23" borderId="0" xfId="2" applyFont="1" applyFill="1" applyAlignment="1">
      <alignment vertical="center"/>
    </xf>
    <xf numFmtId="0" fontId="10" fillId="24" borderId="0" xfId="2" applyFont="1" applyFill="1" applyAlignment="1">
      <alignment vertical="center"/>
    </xf>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0" borderId="0" xfId="0" applyFont="1"/>
    <xf numFmtId="0" fontId="4" fillId="0" borderId="2" xfId="0" applyFont="1" applyBorder="1"/>
    <xf numFmtId="0" fontId="0" fillId="4" borderId="2" xfId="0" applyFill="1" applyBorder="1" applyAlignment="1" applyProtection="1">
      <alignment vertical="center"/>
      <protection locked="0"/>
    </xf>
    <xf numFmtId="0" fontId="0" fillId="4" borderId="2" xfId="0" applyFill="1" applyBorder="1" applyProtection="1">
      <protection locked="0"/>
    </xf>
    <xf numFmtId="0" fontId="0" fillId="4" borderId="2" xfId="0" applyFont="1" applyFill="1" applyBorder="1" applyProtection="1">
      <protection locked="0"/>
    </xf>
    <xf numFmtId="1" fontId="0" fillId="4" borderId="2" xfId="0" applyNumberFormat="1" applyFont="1" applyFill="1" applyBorder="1" applyProtection="1">
      <protection locked="0"/>
    </xf>
    <xf numFmtId="0" fontId="0" fillId="4" borderId="5" xfId="0" applyFont="1" applyFill="1" applyBorder="1" applyProtection="1">
      <protection locked="0"/>
    </xf>
    <xf numFmtId="9" fontId="12" fillId="4" borderId="2" xfId="1" applyNumberFormat="1" applyFont="1" applyFill="1" applyBorder="1" applyProtection="1">
      <protection locked="0"/>
    </xf>
    <xf numFmtId="9" fontId="0" fillId="4" borderId="2" xfId="1" applyNumberFormat="1" applyFont="1" applyFill="1" applyBorder="1" applyProtection="1">
      <protection locked="0"/>
    </xf>
    <xf numFmtId="0" fontId="12" fillId="4" borderId="10"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0" fillId="0" borderId="0" xfId="0" applyFill="1"/>
    <xf numFmtId="0" fontId="7" fillId="0" borderId="0" xfId="0" applyFont="1"/>
    <xf numFmtId="0" fontId="19" fillId="0" borderId="5" xfId="0" applyFont="1" applyFill="1" applyBorder="1"/>
    <xf numFmtId="0" fontId="0" fillId="0" borderId="7" xfId="0" applyFill="1" applyBorder="1"/>
    <xf numFmtId="0" fontId="0" fillId="0" borderId="9" xfId="0" applyFill="1" applyBorder="1"/>
    <xf numFmtId="0" fontId="0" fillId="0" borderId="14" xfId="0" applyFill="1" applyBorder="1"/>
    <xf numFmtId="0" fontId="0" fillId="0" borderId="2" xfId="0" applyFont="1" applyFill="1" applyBorder="1" applyAlignment="1">
      <alignment horizontal="left" vertical="top" wrapText="1"/>
    </xf>
    <xf numFmtId="0" fontId="0" fillId="0" borderId="0" xfId="0" applyFont="1" applyFill="1" applyBorder="1"/>
    <xf numFmtId="0" fontId="8" fillId="0" borderId="15" xfId="0" applyFont="1" applyBorder="1"/>
    <xf numFmtId="0" fontId="31" fillId="0" borderId="0" xfId="0" applyFont="1" applyFill="1"/>
    <xf numFmtId="1" fontId="0" fillId="4" borderId="4" xfId="0" applyNumberFormat="1" applyFont="1" applyFill="1" applyBorder="1" applyProtection="1">
      <protection locked="0"/>
    </xf>
    <xf numFmtId="1" fontId="0" fillId="4" borderId="16" xfId="0" applyNumberFormat="1" applyFont="1" applyFill="1" applyBorder="1" applyProtection="1">
      <protection locked="0"/>
    </xf>
    <xf numFmtId="4" fontId="0" fillId="4" borderId="2" xfId="0" applyNumberFormat="1" applyFill="1" applyBorder="1" applyProtection="1">
      <protection locked="0"/>
    </xf>
    <xf numFmtId="4" fontId="0" fillId="4" borderId="2" xfId="0" applyNumberFormat="1" applyFont="1" applyFill="1" applyBorder="1" applyProtection="1">
      <protection locked="0"/>
    </xf>
    <xf numFmtId="4" fontId="0" fillId="4" borderId="2" xfId="0" applyNumberFormat="1" applyFill="1" applyBorder="1" applyAlignment="1" applyProtection="1">
      <alignment vertical="center"/>
      <protection locked="0"/>
    </xf>
    <xf numFmtId="4" fontId="0" fillId="4" borderId="17" xfId="0" applyNumberFormat="1" applyFont="1" applyFill="1" applyBorder="1" applyProtection="1">
      <protection locked="0"/>
    </xf>
    <xf numFmtId="168" fontId="12" fillId="4" borderId="2" xfId="1" applyNumberFormat="1" applyFont="1" applyFill="1" applyBorder="1" applyProtection="1">
      <protection locked="0"/>
    </xf>
    <xf numFmtId="168" fontId="0" fillId="4" borderId="2" xfId="1" applyNumberFormat="1" applyFont="1" applyFill="1" applyBorder="1" applyProtection="1">
      <protection locked="0"/>
    </xf>
    <xf numFmtId="3" fontId="0" fillId="4" borderId="2" xfId="0" applyNumberFormat="1" applyFont="1" applyFill="1" applyBorder="1" applyProtection="1">
      <protection locked="0"/>
    </xf>
    <xf numFmtId="4" fontId="0" fillId="4" borderId="12" xfId="0" applyNumberFormat="1" applyFont="1" applyFill="1" applyBorder="1" applyProtection="1">
      <protection locked="0"/>
    </xf>
    <xf numFmtId="0" fontId="0" fillId="0" borderId="2" xfId="0" applyBorder="1" applyAlignment="1">
      <alignment horizontal="right" vertical="center"/>
    </xf>
    <xf numFmtId="0" fontId="0" fillId="4" borderId="15" xfId="0" applyFont="1" applyFill="1" applyBorder="1" applyProtection="1">
      <protection locked="0"/>
    </xf>
    <xf numFmtId="0" fontId="34" fillId="0" borderId="0" xfId="0" applyFont="1"/>
    <xf numFmtId="0" fontId="34" fillId="2" borderId="0" xfId="0" applyFont="1" applyFill="1"/>
    <xf numFmtId="0" fontId="36" fillId="2" borderId="0" xfId="0" applyFont="1" applyFill="1" applyAlignment="1">
      <alignment wrapText="1"/>
    </xf>
    <xf numFmtId="14" fontId="34" fillId="0" borderId="0" xfId="0" applyNumberFormat="1" applyFont="1"/>
    <xf numFmtId="0" fontId="34" fillId="0" borderId="0" xfId="0" applyFont="1" applyAlignment="1">
      <alignment wrapText="1"/>
    </xf>
    <xf numFmtId="0" fontId="3" fillId="4" borderId="2" xfId="0" applyFont="1" applyFill="1" applyBorder="1" applyAlignment="1" applyProtection="1">
      <alignment wrapText="1"/>
      <protection locked="0"/>
    </xf>
    <xf numFmtId="0" fontId="12" fillId="4" borderId="2" xfId="0" applyFont="1" applyFill="1" applyBorder="1" applyAlignment="1" applyProtection="1">
      <alignment wrapText="1"/>
      <protection locked="0"/>
    </xf>
    <xf numFmtId="0" fontId="12" fillId="4" borderId="2" xfId="0" applyFont="1" applyFill="1" applyBorder="1" applyAlignment="1" applyProtection="1">
      <alignment horizontal="left" wrapText="1"/>
      <protection locked="0"/>
    </xf>
    <xf numFmtId="0" fontId="0" fillId="7" borderId="2" xfId="0" applyFill="1" applyBorder="1" applyAlignment="1" applyProtection="1">
      <protection hidden="1"/>
    </xf>
    <xf numFmtId="2" fontId="26" fillId="6" borderId="2" xfId="0" applyNumberFormat="1" applyFont="1" applyFill="1" applyBorder="1" applyAlignment="1" applyProtection="1">
      <protection hidden="1"/>
    </xf>
    <xf numFmtId="2" fontId="27" fillId="6" borderId="2" xfId="0" applyNumberFormat="1" applyFont="1" applyFill="1" applyBorder="1" applyAlignment="1" applyProtection="1">
      <protection hidden="1"/>
    </xf>
    <xf numFmtId="0" fontId="34" fillId="3" borderId="1" xfId="0" applyFont="1" applyFill="1" applyBorder="1" applyAlignment="1">
      <alignment wrapText="1"/>
    </xf>
    <xf numFmtId="0" fontId="34" fillId="3" borderId="1" xfId="0" applyFont="1" applyFill="1" applyBorder="1"/>
    <xf numFmtId="0" fontId="37" fillId="0" borderId="0" xfId="0" applyFont="1" applyFill="1"/>
    <xf numFmtId="0" fontId="34" fillId="13" borderId="0" xfId="0" applyFont="1" applyFill="1" applyProtection="1">
      <protection locked="0"/>
    </xf>
    <xf numFmtId="0" fontId="34" fillId="14" borderId="0" xfId="0" applyFont="1" applyFill="1"/>
    <xf numFmtId="0" fontId="34" fillId="15" borderId="0" xfId="0" applyFont="1" applyFill="1"/>
    <xf numFmtId="0" fontId="36" fillId="0" borderId="0" xfId="0" applyFont="1" applyAlignment="1">
      <alignment wrapText="1"/>
    </xf>
    <xf numFmtId="0" fontId="36" fillId="0" borderId="0" xfId="0" applyFont="1" applyAlignment="1">
      <alignment horizontal="left"/>
    </xf>
    <xf numFmtId="0" fontId="34" fillId="15" borderId="0" xfId="0" applyFont="1" applyFill="1" applyAlignment="1">
      <alignment wrapText="1"/>
    </xf>
    <xf numFmtId="0" fontId="36" fillId="0" borderId="0" xfId="0" applyFont="1"/>
    <xf numFmtId="0" fontId="34" fillId="0" borderId="0" xfId="0" applyFont="1" applyBorder="1" applyAlignment="1">
      <alignment horizontal="left" wrapText="1"/>
    </xf>
    <xf numFmtId="0" fontId="36" fillId="0" borderId="0" xfId="0" applyFont="1" applyBorder="1" applyAlignment="1">
      <alignment wrapText="1"/>
    </xf>
    <xf numFmtId="0" fontId="34" fillId="0" borderId="0" xfId="0" applyFont="1" applyBorder="1"/>
    <xf numFmtId="0" fontId="31" fillId="0" borderId="0" xfId="0" applyFont="1"/>
    <xf numFmtId="0" fontId="34" fillId="0" borderId="0" xfId="0" applyFont="1" applyBorder="1" applyAlignment="1">
      <alignment wrapText="1"/>
    </xf>
    <xf numFmtId="0" fontId="34" fillId="0" borderId="0" xfId="0" quotePrefix="1" applyFont="1" applyBorder="1" applyAlignment="1">
      <alignment wrapText="1"/>
    </xf>
    <xf numFmtId="0" fontId="34" fillId="0" borderId="0" xfId="0" quotePrefix="1" applyFont="1" applyBorder="1"/>
    <xf numFmtId="0" fontId="31" fillId="0" borderId="0" xfId="0" applyFont="1" applyAlignment="1">
      <alignment wrapText="1"/>
    </xf>
    <xf numFmtId="0" fontId="36" fillId="2" borderId="0" xfId="0" applyFont="1" applyFill="1"/>
    <xf numFmtId="0" fontId="34" fillId="18" borderId="0" xfId="0" applyFont="1" applyFill="1"/>
    <xf numFmtId="0" fontId="34" fillId="19" borderId="0" xfId="0" applyFont="1" applyFill="1"/>
    <xf numFmtId="4" fontId="0" fillId="4" borderId="5" xfId="0" applyNumberFormat="1" applyFont="1" applyFill="1" applyBorder="1" applyAlignment="1" applyProtection="1">
      <alignment vertical="center"/>
      <protection locked="0"/>
    </xf>
    <xf numFmtId="0" fontId="3" fillId="0" borderId="0" xfId="0" applyFont="1" applyFill="1" applyBorder="1"/>
    <xf numFmtId="0" fontId="20" fillId="0" borderId="5" xfId="0" applyFont="1" applyFill="1" applyBorder="1"/>
    <xf numFmtId="0" fontId="6" fillId="0" borderId="18" xfId="0" applyFont="1" applyBorder="1"/>
    <xf numFmtId="0" fontId="7" fillId="0" borderId="19" xfId="0" applyFont="1" applyBorder="1"/>
    <xf numFmtId="0" fontId="6" fillId="0" borderId="19" xfId="0" applyFont="1" applyBorder="1"/>
    <xf numFmtId="0" fontId="7" fillId="0" borderId="20" xfId="0" applyFont="1" applyBorder="1"/>
    <xf numFmtId="0" fontId="7" fillId="0" borderId="22" xfId="0" applyFont="1" applyBorder="1"/>
    <xf numFmtId="0" fontId="3" fillId="0" borderId="0" xfId="0" quotePrefix="1" applyFont="1"/>
    <xf numFmtId="0" fontId="0" fillId="0" borderId="0" xfId="0" applyProtection="1"/>
    <xf numFmtId="0" fontId="0" fillId="3" borderId="1" xfId="0" applyFill="1" applyBorder="1" applyProtection="1"/>
    <xf numFmtId="0" fontId="0" fillId="13" borderId="0" xfId="0" applyFill="1" applyProtection="1"/>
    <xf numFmtId="0" fontId="0" fillId="31" borderId="0" xfId="0" applyFill="1" applyProtection="1"/>
    <xf numFmtId="0" fontId="31" fillId="0" borderId="0" xfId="0" applyFont="1" applyFill="1" applyProtection="1"/>
    <xf numFmtId="0" fontId="0" fillId="0" borderId="2" xfId="0" applyBorder="1" applyProtection="1"/>
    <xf numFmtId="0" fontId="0" fillId="0" borderId="0" xfId="0" applyBorder="1" applyProtection="1"/>
    <xf numFmtId="0" fontId="0" fillId="32" borderId="0" xfId="0" applyFill="1" applyProtection="1"/>
    <xf numFmtId="0" fontId="12" fillId="0" borderId="0" xfId="0" applyFont="1" applyFill="1" applyProtection="1"/>
    <xf numFmtId="0" fontId="30" fillId="0" borderId="0" xfId="0" applyFont="1" applyFill="1" applyProtection="1"/>
    <xf numFmtId="0" fontId="0" fillId="0" borderId="0" xfId="0" applyFill="1" applyProtection="1"/>
    <xf numFmtId="0" fontId="0" fillId="0" borderId="10" xfId="0" applyBorder="1" applyAlignment="1" applyProtection="1">
      <alignment vertical="top" wrapText="1"/>
    </xf>
    <xf numFmtId="0" fontId="0" fillId="0" borderId="11" xfId="0" applyBorder="1" applyAlignment="1" applyProtection="1">
      <alignment vertical="top" wrapText="1"/>
    </xf>
    <xf numFmtId="0" fontId="0" fillId="0" borderId="11" xfId="0" applyBorder="1" applyProtection="1"/>
    <xf numFmtId="0" fontId="12" fillId="0" borderId="0" xfId="0" applyFont="1" applyProtection="1"/>
    <xf numFmtId="0" fontId="0" fillId="33" borderId="0" xfId="0" applyFill="1" applyProtection="1"/>
    <xf numFmtId="0" fontId="0" fillId="7" borderId="3" xfId="0" applyFill="1" applyBorder="1" applyProtection="1"/>
    <xf numFmtId="0" fontId="0" fillId="7" borderId="4" xfId="0" applyFill="1" applyBorder="1" applyProtection="1"/>
    <xf numFmtId="0" fontId="0" fillId="7" borderId="9" xfId="0" applyFill="1" applyBorder="1" applyProtection="1"/>
    <xf numFmtId="0" fontId="0" fillId="7" borderId="10" xfId="0" applyFill="1" applyBorder="1" applyProtection="1"/>
    <xf numFmtId="0" fontId="0" fillId="34" borderId="0" xfId="0" applyFill="1" applyProtection="1"/>
    <xf numFmtId="0" fontId="32" fillId="0" borderId="0" xfId="0" applyFont="1" applyProtection="1"/>
    <xf numFmtId="3" fontId="0" fillId="4" borderId="2" xfId="0" applyNumberFormat="1" applyFill="1" applyBorder="1" applyAlignment="1" applyProtection="1">
      <protection locked="0"/>
    </xf>
    <xf numFmtId="2" fontId="26" fillId="5" borderId="2" xfId="0" applyNumberFormat="1" applyFont="1" applyFill="1" applyBorder="1" applyAlignment="1" applyProtection="1">
      <alignment horizontal="center"/>
      <protection locked="0"/>
    </xf>
    <xf numFmtId="2" fontId="27" fillId="5" borderId="2" xfId="0" applyNumberFormat="1" applyFont="1" applyFill="1" applyBorder="1" applyAlignment="1" applyProtection="1">
      <alignment horizontal="center"/>
      <protection locked="0"/>
    </xf>
    <xf numFmtId="3" fontId="0" fillId="4" borderId="12" xfId="0" applyNumberFormat="1" applyFill="1" applyBorder="1" applyAlignment="1" applyProtection="1">
      <protection locked="0"/>
    </xf>
    <xf numFmtId="0" fontId="0" fillId="4" borderId="12" xfId="0" applyFill="1" applyBorder="1" applyProtection="1">
      <protection locked="0"/>
    </xf>
    <xf numFmtId="2" fontId="27" fillId="5" borderId="12" xfId="0" applyNumberFormat="1" applyFont="1" applyFill="1" applyBorder="1" applyAlignment="1" applyProtection="1">
      <alignment horizontal="center"/>
      <protection locked="0"/>
    </xf>
    <xf numFmtId="14" fontId="0" fillId="4" borderId="2" xfId="0" applyNumberFormat="1" applyFill="1" applyBorder="1" applyProtection="1">
      <protection locked="0"/>
    </xf>
    <xf numFmtId="0" fontId="3" fillId="0" borderId="0" xfId="0" applyFont="1" applyProtection="1"/>
    <xf numFmtId="0" fontId="0" fillId="0" borderId="1" xfId="0" applyBorder="1" applyProtection="1"/>
    <xf numFmtId="0" fontId="0" fillId="14" borderId="0" xfId="0" applyFill="1" applyProtection="1"/>
    <xf numFmtId="0" fontId="9" fillId="0" borderId="0" xfId="0" applyFont="1" applyProtection="1"/>
    <xf numFmtId="0" fontId="33" fillId="0" borderId="0" xfId="0" applyFont="1" applyFill="1" applyProtection="1"/>
    <xf numFmtId="0" fontId="0" fillId="0" borderId="0" xfId="0" applyBorder="1" applyAlignment="1" applyProtection="1">
      <alignment horizontal="left" vertical="top"/>
    </xf>
    <xf numFmtId="0" fontId="0" fillId="15" borderId="0" xfId="0" applyFill="1" applyProtection="1"/>
    <xf numFmtId="0" fontId="9" fillId="0" borderId="0" xfId="0" applyFont="1" applyFill="1" applyProtection="1"/>
    <xf numFmtId="0" fontId="2" fillId="0" borderId="2" xfId="0" applyFont="1" applyBorder="1" applyAlignment="1" applyProtection="1">
      <alignment wrapText="1"/>
    </xf>
    <xf numFmtId="0" fontId="2" fillId="12" borderId="10" xfId="0" applyFont="1" applyFill="1" applyBorder="1" applyAlignment="1" applyProtection="1">
      <alignment wrapText="1"/>
    </xf>
    <xf numFmtId="0" fontId="2" fillId="0" borderId="11" xfId="0" applyFont="1" applyFill="1" applyBorder="1" applyAlignment="1" applyProtection="1">
      <alignment wrapText="1"/>
    </xf>
    <xf numFmtId="0" fontId="15" fillId="0" borderId="0" xfId="0" applyFont="1" applyProtection="1"/>
    <xf numFmtId="0" fontId="2" fillId="12" borderId="11" xfId="0" applyFont="1" applyFill="1" applyBorder="1" applyAlignment="1" applyProtection="1">
      <alignment wrapText="1"/>
    </xf>
    <xf numFmtId="0" fontId="0" fillId="16" borderId="0" xfId="0" applyFill="1" applyProtection="1"/>
    <xf numFmtId="0" fontId="5" fillId="0" borderId="0" xfId="0" applyFont="1" applyAlignment="1" applyProtection="1">
      <alignment horizontal="left" vertical="top" wrapText="1" indent="3"/>
    </xf>
    <xf numFmtId="0" fontId="19" fillId="0" borderId="0" xfId="0" applyFont="1" applyFill="1" applyProtection="1"/>
    <xf numFmtId="0" fontId="5" fillId="0" borderId="0" xfId="0" quotePrefix="1" applyFont="1" applyAlignment="1" applyProtection="1">
      <alignment horizontal="left" vertical="top" wrapText="1" indent="3"/>
    </xf>
    <xf numFmtId="0" fontId="18" fillId="0" borderId="0" xfId="0" applyFont="1" applyFill="1" applyProtection="1"/>
    <xf numFmtId="0" fontId="2" fillId="12" borderId="5" xfId="0" applyFont="1" applyFill="1" applyBorder="1" applyAlignment="1" applyProtection="1">
      <alignment wrapText="1"/>
    </xf>
    <xf numFmtId="0" fontId="2" fillId="12" borderId="2" xfId="0" applyFont="1" applyFill="1" applyBorder="1" applyAlignment="1" applyProtection="1">
      <alignment wrapText="1"/>
    </xf>
    <xf numFmtId="10" fontId="0" fillId="0" borderId="0" xfId="0" applyNumberFormat="1" applyProtection="1"/>
    <xf numFmtId="0" fontId="18" fillId="0" borderId="0" xfId="0" applyFont="1" applyProtection="1"/>
    <xf numFmtId="0" fontId="2" fillId="0" borderId="5" xfId="0" applyFont="1" applyFill="1" applyBorder="1" applyAlignment="1" applyProtection="1">
      <alignment wrapText="1"/>
    </xf>
    <xf numFmtId="0" fontId="2" fillId="12" borderId="0" xfId="0" applyFont="1" applyFill="1" applyAlignment="1" applyProtection="1">
      <alignment wrapText="1"/>
    </xf>
    <xf numFmtId="0" fontId="0" fillId="17" borderId="0" xfId="0" applyFill="1" applyProtection="1"/>
    <xf numFmtId="0" fontId="3" fillId="0" borderId="0" xfId="0" applyFont="1" applyFill="1" applyProtection="1"/>
    <xf numFmtId="0" fontId="2" fillId="9" borderId="2" xfId="0" applyFont="1" applyFill="1" applyBorder="1" applyAlignment="1" applyProtection="1">
      <alignment wrapText="1"/>
    </xf>
    <xf numFmtId="0" fontId="0" fillId="0" borderId="0" xfId="0" applyProtection="1">
      <protection hidden="1"/>
    </xf>
    <xf numFmtId="0" fontId="0" fillId="4" borderId="6" xfId="0" applyFont="1" applyFill="1" applyBorder="1" applyProtection="1">
      <protection locked="0"/>
    </xf>
    <xf numFmtId="0" fontId="0" fillId="4" borderId="12" xfId="0" applyFont="1" applyFill="1" applyBorder="1" applyProtection="1">
      <protection locked="0"/>
    </xf>
    <xf numFmtId="0" fontId="12" fillId="0" borderId="0" xfId="0" applyFont="1" applyProtection="1">
      <protection hidden="1"/>
    </xf>
    <xf numFmtId="0" fontId="3" fillId="0" borderId="0" xfId="0" applyFont="1" applyProtection="1">
      <protection hidden="1"/>
    </xf>
    <xf numFmtId="0" fontId="0" fillId="13" borderId="0" xfId="0" applyFill="1" applyProtection="1">
      <protection hidden="1"/>
    </xf>
    <xf numFmtId="0" fontId="0" fillId="20" borderId="0" xfId="0" applyFill="1" applyProtection="1">
      <protection hidden="1"/>
    </xf>
    <xf numFmtId="0" fontId="14" fillId="0" borderId="0" xfId="0" applyFont="1" applyProtection="1">
      <protection hidden="1"/>
    </xf>
    <xf numFmtId="0" fontId="2" fillId="2" borderId="0" xfId="0" applyFont="1" applyFill="1" applyBorder="1" applyProtection="1">
      <protection hidden="1"/>
    </xf>
    <xf numFmtId="0" fontId="38" fillId="2" borderId="0" xfId="0" applyFont="1" applyFill="1" applyBorder="1" applyProtection="1">
      <protection hidden="1"/>
    </xf>
    <xf numFmtId="0" fontId="2" fillId="9" borderId="10" xfId="0" applyFont="1" applyFill="1" applyBorder="1" applyProtection="1">
      <protection hidden="1"/>
    </xf>
    <xf numFmtId="0" fontId="2" fillId="10" borderId="11" xfId="0" applyFont="1" applyFill="1" applyBorder="1" applyProtection="1">
      <protection hidden="1"/>
    </xf>
    <xf numFmtId="0" fontId="2" fillId="10" borderId="11" xfId="0" applyFont="1" applyFill="1" applyBorder="1" applyAlignment="1" applyProtection="1">
      <alignment horizontal="left"/>
      <protection hidden="1"/>
    </xf>
    <xf numFmtId="0" fontId="0" fillId="0" borderId="11" xfId="0" applyBorder="1" applyProtection="1">
      <protection hidden="1"/>
    </xf>
    <xf numFmtId="1" fontId="12" fillId="0" borderId="2" xfId="0" applyNumberFormat="1" applyFont="1" applyFill="1" applyBorder="1" applyProtection="1">
      <protection hidden="1"/>
    </xf>
    <xf numFmtId="11" fontId="16" fillId="6" borderId="2" xfId="0" applyNumberFormat="1" applyFont="1" applyFill="1" applyBorder="1" applyAlignment="1" applyProtection="1">
      <alignment horizontal="right"/>
      <protection hidden="1"/>
    </xf>
    <xf numFmtId="0" fontId="0" fillId="0" borderId="0" xfId="0" applyFill="1" applyAlignment="1" applyProtection="1">
      <alignment wrapText="1"/>
      <protection hidden="1"/>
    </xf>
    <xf numFmtId="1" fontId="38" fillId="2" borderId="0" xfId="0" applyNumberFormat="1" applyFont="1" applyFill="1" applyBorder="1" applyProtection="1">
      <protection hidden="1"/>
    </xf>
    <xf numFmtId="0" fontId="0" fillId="0" borderId="0" xfId="0" applyBorder="1" applyProtection="1">
      <protection hidden="1"/>
    </xf>
    <xf numFmtId="9" fontId="0" fillId="0" borderId="0" xfId="0" applyNumberFormat="1" applyBorder="1" applyProtection="1">
      <protection hidden="1"/>
    </xf>
    <xf numFmtId="0" fontId="2" fillId="12" borderId="11" xfId="0" applyFont="1" applyFill="1" applyBorder="1" applyProtection="1">
      <protection hidden="1"/>
    </xf>
    <xf numFmtId="0" fontId="2" fillId="12" borderId="9" xfId="0" applyFont="1" applyFill="1" applyBorder="1" applyProtection="1">
      <protection hidden="1"/>
    </xf>
    <xf numFmtId="1" fontId="38" fillId="35" borderId="0" xfId="0" applyNumberFormat="1" applyFont="1" applyFill="1" applyBorder="1" applyProtection="1">
      <protection hidden="1"/>
    </xf>
    <xf numFmtId="0" fontId="0" fillId="0" borderId="4" xfId="0" applyFill="1" applyBorder="1" applyAlignment="1" applyProtection="1">
      <alignment wrapText="1"/>
      <protection hidden="1"/>
    </xf>
    <xf numFmtId="0" fontId="0" fillId="0" borderId="3" xfId="0" applyFill="1" applyBorder="1" applyAlignment="1" applyProtection="1">
      <alignment wrapText="1"/>
      <protection hidden="1"/>
    </xf>
    <xf numFmtId="0" fontId="0" fillId="0" borderId="6" xfId="0" applyFont="1" applyBorder="1" applyAlignment="1" applyProtection="1">
      <alignment wrapText="1"/>
      <protection hidden="1"/>
    </xf>
    <xf numFmtId="11" fontId="16" fillId="6" borderId="12" xfId="0" applyNumberFormat="1" applyFont="1" applyFill="1" applyBorder="1" applyAlignment="1" applyProtection="1">
      <alignment horizontal="right"/>
      <protection hidden="1"/>
    </xf>
    <xf numFmtId="0" fontId="0" fillId="0" borderId="5" xfId="0" applyFill="1" applyBorder="1" applyAlignment="1" applyProtection="1">
      <alignment wrapText="1"/>
      <protection hidden="1"/>
    </xf>
    <xf numFmtId="11" fontId="0" fillId="0" borderId="0" xfId="0" applyNumberFormat="1" applyProtection="1">
      <protection hidden="1"/>
    </xf>
    <xf numFmtId="9" fontId="0" fillId="0" borderId="0" xfId="0" applyNumberFormat="1" applyProtection="1">
      <protection hidden="1"/>
    </xf>
    <xf numFmtId="0" fontId="0" fillId="7" borderId="2" xfId="0" applyFill="1" applyBorder="1" applyProtection="1">
      <protection hidden="1"/>
    </xf>
    <xf numFmtId="9" fontId="0" fillId="7" borderId="2" xfId="0" applyNumberFormat="1" applyFill="1" applyBorder="1" applyProtection="1">
      <protection hidden="1"/>
    </xf>
    <xf numFmtId="0" fontId="0" fillId="7" borderId="2" xfId="0" applyFill="1" applyBorder="1" applyAlignment="1" applyProtection="1">
      <alignment wrapText="1"/>
      <protection hidden="1"/>
    </xf>
    <xf numFmtId="0" fontId="0" fillId="7" borderId="2" xfId="0" applyFont="1" applyFill="1" applyBorder="1" applyAlignment="1" applyProtection="1">
      <alignment wrapText="1"/>
      <protection hidden="1"/>
    </xf>
    <xf numFmtId="0" fontId="0" fillId="0" borderId="4" xfId="0" applyBorder="1" applyProtection="1">
      <protection hidden="1"/>
    </xf>
    <xf numFmtId="2" fontId="0" fillId="6" borderId="2" xfId="0" applyNumberFormat="1" applyFill="1" applyBorder="1" applyProtection="1">
      <protection hidden="1"/>
    </xf>
    <xf numFmtId="167" fontId="12" fillId="6" borderId="2" xfId="0" applyNumberFormat="1" applyFont="1" applyFill="1" applyBorder="1" applyProtection="1">
      <protection hidden="1"/>
    </xf>
    <xf numFmtId="11" fontId="12" fillId="6" borderId="2" xfId="0" applyNumberFormat="1" applyFont="1" applyFill="1" applyBorder="1" applyProtection="1">
      <protection hidden="1"/>
    </xf>
    <xf numFmtId="11" fontId="0" fillId="6" borderId="2" xfId="0" applyNumberFormat="1" applyFill="1" applyBorder="1" applyProtection="1">
      <protection hidden="1"/>
    </xf>
    <xf numFmtId="0" fontId="0" fillId="0" borderId="4" xfId="0" applyBorder="1" applyAlignment="1" applyProtection="1">
      <alignment horizontal="left"/>
      <protection hidden="1"/>
    </xf>
    <xf numFmtId="2" fontId="12" fillId="6" borderId="2" xfId="0" applyNumberFormat="1" applyFont="1" applyFill="1" applyBorder="1" applyProtection="1">
      <protection hidden="1"/>
    </xf>
    <xf numFmtId="2" fontId="0" fillId="6" borderId="12" xfId="0" applyNumberFormat="1" applyFill="1" applyBorder="1" applyProtection="1">
      <protection hidden="1"/>
    </xf>
    <xf numFmtId="2" fontId="12" fillId="6" borderId="12" xfId="0" applyNumberFormat="1" applyFont="1" applyFill="1" applyBorder="1" applyProtection="1">
      <protection hidden="1"/>
    </xf>
    <xf numFmtId="11" fontId="0" fillId="6" borderId="12" xfId="0" applyNumberFormat="1" applyFill="1" applyBorder="1" applyProtection="1">
      <protection hidden="1"/>
    </xf>
    <xf numFmtId="0" fontId="0" fillId="5" borderId="0" xfId="0" applyFill="1" applyProtection="1">
      <protection hidden="1"/>
    </xf>
    <xf numFmtId="0" fontId="13" fillId="11" borderId="0" xfId="0" applyFont="1" applyFill="1" applyAlignment="1" applyProtection="1">
      <alignment horizontal="left" vertical="center"/>
      <protection hidden="1"/>
    </xf>
    <xf numFmtId="0" fontId="9" fillId="0" borderId="0" xfId="0" applyFont="1" applyProtection="1">
      <protection hidden="1"/>
    </xf>
    <xf numFmtId="0" fontId="2" fillId="12" borderId="11" xfId="0" applyFont="1" applyFill="1" applyBorder="1" applyAlignment="1" applyProtection="1">
      <alignment wrapText="1"/>
      <protection hidden="1"/>
    </xf>
    <xf numFmtId="0" fontId="2" fillId="10" borderId="2" xfId="0" applyFont="1" applyFill="1" applyBorder="1" applyProtection="1">
      <protection hidden="1"/>
    </xf>
    <xf numFmtId="0" fontId="2" fillId="10" borderId="2" xfId="0" applyFont="1" applyFill="1" applyBorder="1" applyAlignment="1" applyProtection="1">
      <alignment horizontal="left"/>
      <protection hidden="1"/>
    </xf>
    <xf numFmtId="0" fontId="2" fillId="9" borderId="2" xfId="0" applyFont="1" applyFill="1" applyBorder="1" applyProtection="1">
      <protection hidden="1"/>
    </xf>
    <xf numFmtId="0" fontId="0" fillId="0" borderId="2" xfId="0" applyBorder="1" applyAlignment="1" applyProtection="1">
      <alignment wrapText="1"/>
      <protection hidden="1"/>
    </xf>
    <xf numFmtId="0" fontId="25" fillId="0" borderId="0" xfId="0" applyFont="1" applyProtection="1">
      <protection hidden="1"/>
    </xf>
    <xf numFmtId="0" fontId="0" fillId="0" borderId="12" xfId="0" applyBorder="1" applyAlignment="1" applyProtection="1">
      <alignment wrapText="1"/>
      <protection hidden="1"/>
    </xf>
    <xf numFmtId="0" fontId="0" fillId="21" borderId="0" xfId="0" applyFill="1" applyProtection="1">
      <protection hidden="1"/>
    </xf>
    <xf numFmtId="0" fontId="0" fillId="0" borderId="10" xfId="0" applyBorder="1" applyProtection="1">
      <protection hidden="1"/>
    </xf>
    <xf numFmtId="165" fontId="0" fillId="6" borderId="2" xfId="0" applyNumberFormat="1" applyFill="1" applyBorder="1" applyProtection="1">
      <protection hidden="1"/>
    </xf>
    <xf numFmtId="0" fontId="2" fillId="12" borderId="10" xfId="0" applyFont="1" applyFill="1" applyBorder="1" applyProtection="1">
      <protection hidden="1"/>
    </xf>
    <xf numFmtId="0" fontId="2" fillId="12" borderId="2" xfId="0" applyFont="1" applyFill="1" applyBorder="1" applyProtection="1">
      <protection hidden="1"/>
    </xf>
    <xf numFmtId="0" fontId="0" fillId="0" borderId="6" xfId="0" applyFont="1" applyBorder="1" applyProtection="1">
      <protection hidden="1"/>
    </xf>
    <xf numFmtId="2" fontId="0" fillId="6" borderId="12" xfId="0" applyNumberFormat="1" applyFont="1" applyFill="1" applyBorder="1" applyProtection="1">
      <protection hidden="1"/>
    </xf>
    <xf numFmtId="165" fontId="0" fillId="6" borderId="12" xfId="0" applyNumberFormat="1" applyFont="1" applyFill="1" applyBorder="1" applyProtection="1">
      <protection hidden="1"/>
    </xf>
    <xf numFmtId="0" fontId="0" fillId="0" borderId="0" xfId="0" applyFont="1" applyBorder="1" applyProtection="1">
      <protection hidden="1"/>
    </xf>
    <xf numFmtId="0" fontId="2" fillId="10" borderId="2" xfId="0" applyFont="1" applyFill="1" applyBorder="1" applyAlignment="1" applyProtection="1">
      <alignment wrapText="1"/>
      <protection hidden="1"/>
    </xf>
    <xf numFmtId="167" fontId="0" fillId="6" borderId="2" xfId="0" applyNumberFormat="1" applyFill="1" applyBorder="1" applyProtection="1">
      <protection hidden="1"/>
    </xf>
    <xf numFmtId="0" fontId="0" fillId="7" borderId="2" xfId="0" applyFont="1" applyFill="1" applyBorder="1" applyProtection="1">
      <protection hidden="1"/>
    </xf>
    <xf numFmtId="0" fontId="0" fillId="8" borderId="0" xfId="0" applyFill="1" applyProtection="1">
      <protection hidden="1"/>
    </xf>
    <xf numFmtId="0" fontId="2" fillId="10" borderId="12" xfId="0" applyFont="1" applyFill="1" applyBorder="1" applyProtection="1">
      <protection hidden="1"/>
    </xf>
    <xf numFmtId="0" fontId="2" fillId="10" borderId="12" xfId="0" applyFont="1" applyFill="1" applyBorder="1" applyAlignment="1" applyProtection="1">
      <alignment horizontal="left"/>
      <protection hidden="1"/>
    </xf>
    <xf numFmtId="0" fontId="2" fillId="12" borderId="12" xfId="0" applyFont="1" applyFill="1" applyBorder="1" applyProtection="1">
      <protection hidden="1"/>
    </xf>
    <xf numFmtId="0" fontId="23" fillId="12" borderId="12" xfId="0" applyFont="1" applyFill="1" applyBorder="1" applyAlignment="1" applyProtection="1">
      <alignment horizontal="left" vertical="center" wrapText="1"/>
      <protection hidden="1"/>
    </xf>
    <xf numFmtId="0" fontId="0" fillId="0" borderId="0" xfId="0" applyAlignment="1" applyProtection="1">
      <alignment wrapText="1"/>
      <protection hidden="1"/>
    </xf>
    <xf numFmtId="166" fontId="0" fillId="6" borderId="2" xfId="0" applyNumberFormat="1" applyFill="1" applyBorder="1" applyProtection="1">
      <protection hidden="1"/>
    </xf>
    <xf numFmtId="11" fontId="3" fillId="0" borderId="0" xfId="0" applyNumberFormat="1" applyFont="1" applyFill="1" applyBorder="1" applyProtection="1">
      <protection hidden="1"/>
    </xf>
    <xf numFmtId="0" fontId="0" fillId="22" borderId="0" xfId="0" applyFill="1" applyProtection="1">
      <protection hidden="1"/>
    </xf>
    <xf numFmtId="0" fontId="4" fillId="0" borderId="0" xfId="0" applyFont="1" applyProtection="1">
      <protection hidden="1"/>
    </xf>
    <xf numFmtId="11" fontId="0" fillId="36" borderId="2" xfId="0" applyNumberFormat="1" applyFill="1" applyBorder="1" applyProtection="1">
      <protection hidden="1"/>
    </xf>
    <xf numFmtId="0" fontId="0" fillId="0" borderId="3" xfId="0" applyBorder="1" applyAlignment="1">
      <alignment horizontal="right" vertical="center"/>
    </xf>
    <xf numFmtId="166" fontId="0" fillId="0" borderId="0" xfId="0" applyNumberFormat="1" applyProtection="1">
      <protection hidden="1"/>
    </xf>
    <xf numFmtId="0" fontId="39" fillId="0" borderId="0" xfId="0" applyFont="1" applyProtection="1">
      <protection hidden="1"/>
    </xf>
    <xf numFmtId="0" fontId="0" fillId="37" borderId="2" xfId="0" applyFill="1" applyBorder="1"/>
    <xf numFmtId="0" fontId="0" fillId="0" borderId="5" xfId="0" applyBorder="1"/>
    <xf numFmtId="0" fontId="0" fillId="36" borderId="5" xfId="0" applyFont="1" applyFill="1" applyBorder="1" applyProtection="1">
      <protection hidden="1"/>
    </xf>
    <xf numFmtId="0" fontId="0" fillId="36" borderId="3" xfId="0" applyFill="1" applyBorder="1" applyProtection="1">
      <protection hidden="1"/>
    </xf>
    <xf numFmtId="0" fontId="0" fillId="36" borderId="3" xfId="0" applyFill="1" applyBorder="1" applyAlignment="1" applyProtection="1">
      <alignment horizontal="left" vertical="center"/>
      <protection hidden="1"/>
    </xf>
    <xf numFmtId="0" fontId="0" fillId="37" borderId="5" xfId="0" applyFill="1" applyBorder="1"/>
    <xf numFmtId="0" fontId="0" fillId="0" borderId="3" xfId="0" applyBorder="1"/>
    <xf numFmtId="0" fontId="40" fillId="0" borderId="0" xfId="0" applyFont="1" applyProtection="1">
      <protection hidden="1"/>
    </xf>
    <xf numFmtId="0" fontId="13" fillId="0" borderId="0" xfId="0" applyFont="1" applyProtection="1">
      <protection hidden="1"/>
    </xf>
    <xf numFmtId="0" fontId="12" fillId="0" borderId="12" xfId="0" applyFont="1" applyBorder="1" applyAlignment="1" applyProtection="1">
      <alignment wrapText="1"/>
      <protection hidden="1"/>
    </xf>
    <xf numFmtId="0" fontId="0" fillId="36" borderId="2" xfId="0" applyFill="1" applyBorder="1" applyAlignment="1" applyProtection="1">
      <alignment horizontal="left" vertical="center"/>
      <protection hidden="1"/>
    </xf>
    <xf numFmtId="0" fontId="0" fillId="36" borderId="2" xfId="0" applyFill="1" applyBorder="1" applyAlignment="1" applyProtection="1">
      <alignment horizontal="left" vertical="center" wrapText="1"/>
      <protection hidden="1"/>
    </xf>
    <xf numFmtId="0" fontId="0" fillId="36" borderId="3" xfId="0" applyFill="1" applyBorder="1" applyAlignment="1" applyProtection="1">
      <alignment horizontal="left" vertical="center" wrapText="1"/>
      <protection hidden="1"/>
    </xf>
    <xf numFmtId="11" fontId="16" fillId="38" borderId="2" xfId="0" applyNumberFormat="1" applyFont="1" applyFill="1" applyBorder="1" applyAlignment="1" applyProtection="1">
      <alignment horizontal="right"/>
      <protection hidden="1"/>
    </xf>
    <xf numFmtId="2" fontId="16" fillId="6" borderId="2" xfId="0" applyNumberFormat="1" applyFont="1" applyFill="1" applyBorder="1" applyAlignment="1" applyProtection="1">
      <alignment horizontal="right"/>
      <protection hidden="1"/>
    </xf>
    <xf numFmtId="2" fontId="16" fillId="6" borderId="12" xfId="0" applyNumberFormat="1" applyFont="1" applyFill="1" applyBorder="1" applyAlignment="1" applyProtection="1">
      <alignment horizontal="right"/>
      <protection hidden="1"/>
    </xf>
    <xf numFmtId="2" fontId="16" fillId="38" borderId="2" xfId="0" applyNumberFormat="1" applyFont="1" applyFill="1" applyBorder="1" applyAlignment="1" applyProtection="1">
      <alignment horizontal="right"/>
      <protection hidden="1"/>
    </xf>
    <xf numFmtId="0" fontId="3" fillId="13" borderId="0" xfId="0" applyFont="1" applyFill="1" applyProtection="1">
      <protection hidden="1"/>
    </xf>
    <xf numFmtId="0" fontId="38" fillId="0" borderId="0" xfId="0" applyFont="1" applyProtection="1">
      <protection hidden="1"/>
    </xf>
    <xf numFmtId="0" fontId="39" fillId="0" borderId="0" xfId="0" applyFont="1"/>
    <xf numFmtId="0" fontId="0" fillId="0" borderId="2" xfId="0" applyBorder="1" applyAlignment="1">
      <alignment wrapText="1"/>
    </xf>
    <xf numFmtId="0" fontId="0" fillId="0" borderId="2" xfId="0" applyFill="1" applyBorder="1" applyAlignment="1">
      <alignment wrapText="1"/>
    </xf>
    <xf numFmtId="0" fontId="7" fillId="39" borderId="7" xfId="0" applyFont="1" applyFill="1" applyBorder="1" applyAlignment="1">
      <alignment vertical="center"/>
    </xf>
    <xf numFmtId="0" fontId="4" fillId="39" borderId="2" xfId="0" applyFont="1" applyFill="1" applyBorder="1" applyAlignment="1" applyProtection="1">
      <alignment wrapText="1"/>
    </xf>
    <xf numFmtId="0" fontId="0" fillId="39" borderId="2" xfId="0" applyFill="1" applyBorder="1" applyAlignment="1" applyProtection="1">
      <alignment wrapText="1"/>
    </xf>
    <xf numFmtId="0" fontId="0" fillId="39" borderId="2" xfId="0" applyFill="1" applyBorder="1" applyProtection="1"/>
    <xf numFmtId="0" fontId="0" fillId="39" borderId="2" xfId="0" applyFont="1" applyFill="1" applyBorder="1" applyProtection="1"/>
    <xf numFmtId="0" fontId="0" fillId="39" borderId="16" xfId="0" applyFont="1" applyFill="1" applyBorder="1" applyProtection="1"/>
    <xf numFmtId="0" fontId="0" fillId="39" borderId="4" xfId="0" applyFill="1" applyBorder="1" applyProtection="1"/>
    <xf numFmtId="0" fontId="0" fillId="39" borderId="4" xfId="0" applyFont="1" applyFill="1" applyBorder="1" applyProtection="1"/>
    <xf numFmtId="0" fontId="0" fillId="39" borderId="15" xfId="0" applyFont="1" applyFill="1" applyBorder="1" applyProtection="1"/>
    <xf numFmtId="0" fontId="12" fillId="39" borderId="2" xfId="0" applyFont="1" applyFill="1" applyBorder="1" applyProtection="1"/>
    <xf numFmtId="0" fontId="0" fillId="39" borderId="0" xfId="0" applyFont="1" applyFill="1" applyBorder="1" applyProtection="1"/>
    <xf numFmtId="4" fontId="0" fillId="39" borderId="12" xfId="0" applyNumberFormat="1" applyFont="1" applyFill="1" applyBorder="1" applyProtection="1"/>
    <xf numFmtId="4" fontId="0" fillId="39" borderId="7" xfId="0" applyNumberFormat="1" applyFont="1" applyFill="1" applyBorder="1" applyProtection="1"/>
    <xf numFmtId="0" fontId="0" fillId="39" borderId="0" xfId="0" applyFill="1" applyProtection="1"/>
    <xf numFmtId="0" fontId="0" fillId="39" borderId="5" xfId="0" applyFont="1" applyFill="1" applyBorder="1" applyProtection="1"/>
    <xf numFmtId="4" fontId="0" fillId="39" borderId="5" xfId="0" applyNumberFormat="1" applyFont="1" applyFill="1" applyBorder="1" applyProtection="1"/>
    <xf numFmtId="4" fontId="0" fillId="39" borderId="15" xfId="0" applyNumberFormat="1" applyFont="1" applyFill="1" applyBorder="1" applyProtection="1"/>
    <xf numFmtId="3" fontId="0" fillId="39" borderId="3" xfId="0" applyNumberFormat="1" applyFill="1" applyBorder="1" applyAlignment="1" applyProtection="1">
      <alignment horizontal="right"/>
    </xf>
    <xf numFmtId="3" fontId="0" fillId="39" borderId="5" xfId="0" applyNumberFormat="1" applyFill="1" applyBorder="1" applyAlignment="1" applyProtection="1">
      <alignment horizontal="right"/>
    </xf>
    <xf numFmtId="3" fontId="0" fillId="39" borderId="5" xfId="0" applyNumberFormat="1" applyFont="1" applyFill="1" applyBorder="1" applyAlignment="1" applyProtection="1">
      <alignment horizontal="right"/>
    </xf>
    <xf numFmtId="0" fontId="0" fillId="39" borderId="6" xfId="0" applyFill="1" applyBorder="1" applyAlignment="1" applyProtection="1"/>
    <xf numFmtId="0" fontId="0" fillId="39" borderId="4" xfId="0" applyFill="1" applyBorder="1" applyAlignment="1" applyProtection="1"/>
    <xf numFmtId="4" fontId="0" fillId="39" borderId="13" xfId="0" applyNumberFormat="1" applyFont="1" applyFill="1" applyBorder="1" applyProtection="1"/>
    <xf numFmtId="0" fontId="0" fillId="4" borderId="2" xfId="0" applyFont="1" applyFill="1" applyBorder="1" applyAlignment="1" applyProtection="1">
      <alignment wrapText="1"/>
    </xf>
    <xf numFmtId="0" fontId="39" fillId="0" borderId="0" xfId="0" applyFont="1" applyProtection="1"/>
    <xf numFmtId="0" fontId="39" fillId="0" borderId="0" xfId="0" applyFont="1" applyFill="1" applyProtection="1"/>
    <xf numFmtId="0" fontId="12" fillId="4" borderId="3" xfId="0" applyFont="1" applyFill="1" applyBorder="1" applyAlignment="1" applyProtection="1">
      <alignment horizontal="left" wrapText="1"/>
      <protection locked="0"/>
    </xf>
    <xf numFmtId="0" fontId="42" fillId="0" borderId="0" xfId="0" applyFont="1" applyAlignment="1">
      <alignment wrapText="1"/>
    </xf>
    <xf numFmtId="0" fontId="42" fillId="0" borderId="0" xfId="0" applyFont="1"/>
    <xf numFmtId="0" fontId="42" fillId="2" borderId="0" xfId="0" applyFont="1" applyFill="1"/>
    <xf numFmtId="14" fontId="42" fillId="0" borderId="0" xfId="0" applyNumberFormat="1" applyFont="1"/>
    <xf numFmtId="0" fontId="43" fillId="0" borderId="0" xfId="0" applyFont="1" applyFill="1"/>
    <xf numFmtId="0" fontId="43" fillId="0" borderId="0" xfId="0" applyFont="1" applyFill="1" applyAlignment="1">
      <alignment horizontal="right"/>
    </xf>
    <xf numFmtId="0" fontId="43" fillId="0" borderId="0" xfId="0" applyFont="1" applyFill="1" applyAlignment="1">
      <alignment wrapText="1"/>
    </xf>
    <xf numFmtId="0" fontId="43" fillId="0" borderId="0" xfId="0" applyFont="1" applyFill="1" applyAlignment="1"/>
    <xf numFmtId="0" fontId="43" fillId="0" borderId="0" xfId="0" quotePrefix="1" applyFont="1" applyAlignment="1">
      <alignment horizontal="right" vertical="top"/>
    </xf>
    <xf numFmtId="0" fontId="44" fillId="0" borderId="0" xfId="0" applyFont="1" applyBorder="1"/>
    <xf numFmtId="0" fontId="43" fillId="0" borderId="0" xfId="0" applyFont="1"/>
    <xf numFmtId="0" fontId="43" fillId="0" borderId="0" xfId="0" applyFont="1" applyAlignment="1"/>
    <xf numFmtId="0" fontId="43" fillId="0" borderId="0" xfId="0" quotePrefix="1" applyFont="1" applyAlignment="1">
      <alignment horizontal="right"/>
    </xf>
    <xf numFmtId="0" fontId="44" fillId="0" borderId="0" xfId="0" applyFont="1" applyAlignment="1">
      <alignment wrapText="1"/>
    </xf>
    <xf numFmtId="0" fontId="41" fillId="0" borderId="0" xfId="0" applyFont="1"/>
    <xf numFmtId="0" fontId="45" fillId="0" borderId="0" xfId="0" applyFont="1" applyAlignment="1"/>
    <xf numFmtId="0" fontId="46" fillId="0" borderId="0" xfId="0" applyFont="1"/>
    <xf numFmtId="0" fontId="47" fillId="0" borderId="0" xfId="0" applyFont="1" applyFill="1" applyBorder="1" applyAlignment="1" applyProtection="1">
      <protection hidden="1"/>
    </xf>
    <xf numFmtId="0" fontId="48" fillId="0" borderId="0" xfId="0" applyFont="1" applyFill="1" applyBorder="1" applyAlignment="1" applyProtection="1">
      <alignment horizontal="left" vertical="top"/>
      <protection hidden="1"/>
    </xf>
    <xf numFmtId="14" fontId="46" fillId="0" borderId="0" xfId="0" applyNumberFormat="1" applyFont="1"/>
    <xf numFmtId="0" fontId="49" fillId="10" borderId="2" xfId="0" applyFont="1" applyFill="1" applyBorder="1" applyAlignment="1">
      <alignment wrapText="1"/>
    </xf>
    <xf numFmtId="0" fontId="49" fillId="10" borderId="2" xfId="0" applyFont="1" applyFill="1" applyBorder="1"/>
    <xf numFmtId="0" fontId="46" fillId="39" borderId="2" xfId="0" applyFont="1" applyFill="1" applyBorder="1" applyAlignment="1">
      <alignment wrapText="1"/>
    </xf>
    <xf numFmtId="170" fontId="47" fillId="39" borderId="2" xfId="0" applyNumberFormat="1" applyFont="1" applyFill="1" applyBorder="1"/>
    <xf numFmtId="9" fontId="47" fillId="39" borderId="2" xfId="0" applyNumberFormat="1" applyFont="1" applyFill="1" applyBorder="1"/>
    <xf numFmtId="0" fontId="49" fillId="10" borderId="2" xfId="0" applyFont="1" applyFill="1" applyBorder="1" applyAlignment="1">
      <alignment horizontal="left" wrapText="1"/>
    </xf>
    <xf numFmtId="164" fontId="46" fillId="39" borderId="2" xfId="0" applyNumberFormat="1" applyFont="1" applyFill="1" applyBorder="1" applyAlignment="1">
      <alignment horizontal="right" wrapText="1"/>
    </xf>
    <xf numFmtId="169" fontId="47" fillId="39" borderId="2" xfId="0" applyNumberFormat="1" applyFont="1" applyFill="1" applyBorder="1"/>
    <xf numFmtId="0" fontId="48" fillId="0" borderId="0" xfId="0" applyFont="1" applyFill="1" applyBorder="1" applyAlignment="1" applyProtection="1">
      <protection hidden="1"/>
    </xf>
    <xf numFmtId="0" fontId="49" fillId="10" borderId="11" xfId="0" applyFont="1" applyFill="1" applyBorder="1" applyAlignment="1">
      <alignment wrapText="1"/>
    </xf>
    <xf numFmtId="0" fontId="46" fillId="39" borderId="4" xfId="0" applyFont="1" applyFill="1" applyBorder="1" applyAlignment="1">
      <alignment horizontal="left" vertical="top" wrapText="1"/>
    </xf>
    <xf numFmtId="169" fontId="46" fillId="39" borderId="2" xfId="0" applyNumberFormat="1" applyFont="1" applyFill="1" applyBorder="1" applyAlignment="1">
      <alignment horizontal="right"/>
    </xf>
    <xf numFmtId="169" fontId="46" fillId="39" borderId="12" xfId="0" applyNumberFormat="1" applyFont="1" applyFill="1" applyBorder="1" applyAlignment="1">
      <alignment horizontal="right" wrapText="1"/>
    </xf>
    <xf numFmtId="169" fontId="46" fillId="39" borderId="2" xfId="0" applyNumberFormat="1" applyFont="1" applyFill="1" applyBorder="1" applyAlignment="1">
      <alignment horizontal="right" wrapText="1"/>
    </xf>
    <xf numFmtId="0" fontId="46" fillId="39" borderId="6" xfId="0" applyFont="1" applyFill="1" applyBorder="1" applyAlignment="1">
      <alignment horizontal="left" wrapText="1"/>
    </xf>
    <xf numFmtId="169" fontId="46" fillId="39" borderId="12" xfId="0" applyNumberFormat="1" applyFont="1" applyFill="1" applyBorder="1" applyAlignment="1">
      <alignment horizontal="right"/>
    </xf>
    <xf numFmtId="0" fontId="46" fillId="39" borderId="6" xfId="0" applyFont="1" applyFill="1" applyBorder="1" applyAlignment="1">
      <alignment wrapText="1"/>
    </xf>
    <xf numFmtId="0" fontId="54" fillId="0" borderId="11" xfId="0" applyFont="1" applyBorder="1" applyAlignment="1">
      <alignment wrapText="1"/>
    </xf>
    <xf numFmtId="1" fontId="47" fillId="39" borderId="2" xfId="0" applyNumberFormat="1" applyFont="1" applyFill="1" applyBorder="1" applyAlignment="1">
      <alignment wrapText="1"/>
    </xf>
    <xf numFmtId="0" fontId="47" fillId="39" borderId="2" xfId="0" applyFont="1" applyFill="1" applyBorder="1" applyAlignment="1">
      <alignment wrapText="1"/>
    </xf>
    <xf numFmtId="0" fontId="47" fillId="39" borderId="4" xfId="0" applyFont="1" applyFill="1" applyBorder="1" applyAlignment="1">
      <alignment wrapText="1"/>
    </xf>
    <xf numFmtId="0" fontId="47" fillId="39" borderId="6" xfId="0" applyFont="1" applyFill="1" applyBorder="1" applyAlignment="1">
      <alignment wrapText="1"/>
    </xf>
    <xf numFmtId="0" fontId="49" fillId="9" borderId="10" xfId="0" applyFont="1" applyFill="1" applyBorder="1" applyAlignment="1">
      <alignment wrapText="1"/>
    </xf>
    <xf numFmtId="0" fontId="46" fillId="39" borderId="4" xfId="0" applyFont="1" applyFill="1" applyBorder="1" applyAlignment="1">
      <alignment wrapText="1"/>
    </xf>
    <xf numFmtId="0" fontId="46" fillId="39" borderId="4" xfId="0" applyFont="1" applyFill="1" applyBorder="1" applyAlignment="1">
      <alignment horizontal="left" wrapText="1"/>
    </xf>
    <xf numFmtId="0" fontId="49" fillId="12" borderId="10" xfId="0" applyFont="1" applyFill="1" applyBorder="1" applyAlignment="1">
      <alignment wrapText="1"/>
    </xf>
    <xf numFmtId="0" fontId="49" fillId="10" borderId="10" xfId="0" applyFont="1" applyFill="1" applyBorder="1" applyAlignment="1">
      <alignment wrapText="1"/>
    </xf>
    <xf numFmtId="0" fontId="49" fillId="10" borderId="2" xfId="0" applyFont="1" applyFill="1" applyBorder="1" applyAlignment="1">
      <alignment horizontal="left"/>
    </xf>
    <xf numFmtId="10" fontId="47" fillId="39" borderId="2" xfId="0" applyNumberFormat="1" applyFont="1" applyFill="1" applyBorder="1"/>
    <xf numFmtId="0" fontId="55" fillId="0" borderId="0" xfId="0" applyFont="1" applyFill="1" applyAlignment="1">
      <alignment horizontal="left"/>
    </xf>
    <xf numFmtId="0" fontId="55" fillId="0" borderId="0" xfId="0" applyFont="1" applyFill="1" applyAlignment="1">
      <alignment horizontal="left" vertical="top"/>
    </xf>
    <xf numFmtId="0" fontId="55" fillId="0" borderId="2" xfId="0" applyFont="1" applyBorder="1" applyAlignment="1">
      <alignment horizontal="left" vertical="top" wrapText="1"/>
    </xf>
    <xf numFmtId="0" fontId="55" fillId="0" borderId="2" xfId="0" applyFont="1" applyBorder="1" applyAlignment="1">
      <alignment vertical="top" wrapText="1"/>
    </xf>
    <xf numFmtId="0" fontId="55" fillId="39" borderId="0" xfId="0" applyFont="1" applyFill="1" applyAlignment="1"/>
    <xf numFmtId="0" fontId="55" fillId="0" borderId="0" xfId="0" applyFont="1" applyFill="1" applyAlignment="1">
      <alignment horizontal="left" wrapText="1"/>
    </xf>
    <xf numFmtId="168" fontId="34" fillId="0" borderId="0" xfId="1" applyNumberFormat="1" applyFont="1"/>
    <xf numFmtId="168" fontId="46" fillId="39" borderId="5" xfId="1" applyNumberFormat="1" applyFont="1" applyFill="1" applyBorder="1" applyAlignment="1">
      <alignment horizontal="right"/>
    </xf>
    <xf numFmtId="0" fontId="46" fillId="39" borderId="15" xfId="0" applyFont="1" applyFill="1" applyBorder="1" applyAlignment="1">
      <alignment horizontal="left" vertical="top" wrapText="1"/>
    </xf>
    <xf numFmtId="0" fontId="49" fillId="10" borderId="0" xfId="0" applyFont="1" applyFill="1" applyBorder="1" applyAlignment="1">
      <alignment wrapText="1"/>
    </xf>
    <xf numFmtId="0" fontId="49" fillId="10" borderId="7" xfId="0" applyFont="1" applyFill="1" applyBorder="1" applyAlignment="1">
      <alignment wrapText="1"/>
    </xf>
    <xf numFmtId="0" fontId="49" fillId="10" borderId="7" xfId="0" applyFont="1" applyFill="1" applyBorder="1" applyAlignment="1">
      <alignment horizontal="left" wrapText="1"/>
    </xf>
    <xf numFmtId="0" fontId="49" fillId="10" borderId="11" xfId="0" applyFont="1" applyFill="1" applyBorder="1" applyAlignment="1">
      <alignment horizontal="left" wrapText="1"/>
    </xf>
    <xf numFmtId="0" fontId="53" fillId="39" borderId="15" xfId="0" applyFont="1" applyFill="1" applyBorder="1" applyAlignment="1">
      <alignment wrapText="1"/>
    </xf>
    <xf numFmtId="9" fontId="53" fillId="39" borderId="5" xfId="0" applyNumberFormat="1" applyFont="1" applyFill="1" applyBorder="1" applyAlignment="1">
      <alignment horizontal="right"/>
    </xf>
    <xf numFmtId="10" fontId="46" fillId="39" borderId="5" xfId="1" applyNumberFormat="1" applyFont="1" applyFill="1" applyBorder="1" applyAlignment="1">
      <alignment horizontal="right"/>
    </xf>
    <xf numFmtId="0" fontId="56" fillId="0" borderId="0" xfId="0" applyFont="1" applyFill="1" applyBorder="1" applyAlignment="1" applyProtection="1">
      <protection hidden="1"/>
    </xf>
    <xf numFmtId="0" fontId="3" fillId="0" borderId="0" xfId="0" applyFont="1" applyAlignment="1" applyProtection="1">
      <alignment wrapText="1"/>
    </xf>
    <xf numFmtId="0" fontId="2" fillId="10" borderId="2" xfId="0" applyFont="1" applyFill="1" applyBorder="1" applyAlignment="1">
      <alignment horizontal="left"/>
    </xf>
    <xf numFmtId="0" fontId="2" fillId="10" borderId="2" xfId="0" applyFont="1" applyFill="1" applyBorder="1"/>
    <xf numFmtId="0" fontId="2" fillId="12" borderId="2" xfId="0" applyFont="1" applyFill="1" applyBorder="1"/>
    <xf numFmtId="0" fontId="28" fillId="0" borderId="0" xfId="0" applyFont="1"/>
    <xf numFmtId="0" fontId="12" fillId="0" borderId="7" xfId="2" quotePrefix="1" applyFont="1" applyFill="1" applyBorder="1"/>
    <xf numFmtId="0" fontId="12" fillId="0" borderId="7" xfId="0" applyFont="1" applyFill="1" applyBorder="1"/>
    <xf numFmtId="2" fontId="0" fillId="6" borderId="2" xfId="0" applyNumberFormat="1" applyFont="1" applyFill="1" applyBorder="1"/>
    <xf numFmtId="0" fontId="28" fillId="0" borderId="2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2"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24" xfId="0" applyFont="1" applyFill="1" applyBorder="1" applyAlignment="1">
      <alignment horizontal="left" vertical="top" wrapText="1"/>
    </xf>
    <xf numFmtId="0" fontId="28" fillId="0" borderId="25"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12" fillId="0" borderId="7" xfId="2" quotePrefix="1" applyFont="1" applyFill="1" applyBorder="1" applyAlignment="1">
      <alignment horizontal="left" vertical="top" wrapText="1"/>
    </xf>
    <xf numFmtId="0" fontId="12" fillId="0" borderId="0" xfId="2" quotePrefix="1" applyFont="1" applyFill="1" applyBorder="1" applyAlignment="1">
      <alignment horizontal="left" vertical="top" wrapText="1"/>
    </xf>
    <xf numFmtId="0" fontId="12" fillId="0" borderId="8" xfId="2" quotePrefix="1" applyFont="1" applyFill="1" applyBorder="1" applyAlignment="1">
      <alignment horizontal="left" vertical="top" wrapText="1"/>
    </xf>
    <xf numFmtId="0" fontId="12" fillId="0" borderId="2" xfId="0" applyFont="1" applyFill="1" applyBorder="1" applyAlignment="1">
      <alignment horizontal="left" wrapText="1"/>
    </xf>
    <xf numFmtId="0" fontId="4" fillId="0" borderId="2" xfId="0" applyFont="1" applyBorder="1" applyAlignment="1">
      <alignment horizontal="left"/>
    </xf>
    <xf numFmtId="14" fontId="0" fillId="4" borderId="2" xfId="0" applyNumberFormat="1" applyFill="1" applyBorder="1" applyAlignment="1" applyProtection="1">
      <alignment horizontal="left" vertical="top"/>
      <protection locked="0"/>
    </xf>
    <xf numFmtId="0" fontId="0" fillId="4" borderId="2" xfId="0" applyFill="1" applyBorder="1" applyAlignment="1" applyProtection="1">
      <alignment horizontal="left" vertical="top"/>
      <protection locked="0"/>
    </xf>
    <xf numFmtId="0" fontId="1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15" fillId="7" borderId="3" xfId="0" applyFont="1" applyFill="1" applyBorder="1" applyAlignment="1" applyProtection="1">
      <alignment horizontal="left"/>
    </xf>
    <xf numFmtId="0" fontId="15" fillId="7" borderId="16" xfId="0" applyFont="1" applyFill="1" applyBorder="1" applyAlignment="1" applyProtection="1">
      <alignment horizontal="left"/>
    </xf>
    <xf numFmtId="0" fontId="15" fillId="7" borderId="4" xfId="0" applyFont="1" applyFill="1" applyBorder="1" applyAlignment="1" applyProtection="1">
      <alignment horizontal="left"/>
    </xf>
    <xf numFmtId="0" fontId="0" fillId="4" borderId="3"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0" fillId="0" borderId="0" xfId="0" applyBorder="1" applyAlignment="1" applyProtection="1">
      <alignment horizontal="left" vertical="top" wrapText="1"/>
    </xf>
    <xf numFmtId="0" fontId="55" fillId="39" borderId="2" xfId="0" applyFont="1" applyFill="1" applyBorder="1" applyAlignment="1">
      <alignment horizontal="left" vertical="top" wrapText="1"/>
    </xf>
    <xf numFmtId="14" fontId="55" fillId="39" borderId="0" xfId="0" applyNumberFormat="1" applyFont="1" applyFill="1" applyBorder="1" applyAlignment="1">
      <alignment horizontal="left" vertical="top"/>
    </xf>
    <xf numFmtId="0" fontId="55" fillId="39" borderId="0" xfId="0" applyFont="1" applyFill="1" applyBorder="1" applyAlignment="1">
      <alignment horizontal="left" vertical="top"/>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21" xfId="0" applyFont="1" applyBorder="1" applyAlignment="1"/>
  </cellXfs>
  <cellStyles count="4">
    <cellStyle name="Prozent" xfId="1" builtinId="5"/>
    <cellStyle name="Standard" xfId="0" builtinId="0"/>
    <cellStyle name="Standard 2" xfId="3" xr:uid="{777695D1-AC28-4650-8D2A-FF06F8EAF28F}"/>
    <cellStyle name="Standard 4" xfId="2" xr:uid="{FF2A3D11-9E30-4DAC-B887-37F504EBA0C8}"/>
  </cellStyles>
  <dxfs count="353">
    <dxf>
      <alignment horizontal="left" vertical="center" textRotation="0" wrapText="0" indent="0" justifyLastLine="0" shrinkToFit="0" readingOrder="0"/>
      <border diagonalUp="0" diagonalDown="0">
        <left style="thin">
          <color theme="8" tint="-0.249977111117893"/>
        </left>
        <right/>
        <top style="thin">
          <color theme="8" tint="-0.249977111117893"/>
        </top>
        <bottom style="thin">
          <color theme="8" tint="-0.249977111117893"/>
        </bottom>
      </border>
      <protection locked="1" hidden="1"/>
    </dxf>
    <dxf>
      <numFmt numFmtId="15" formatCode="0.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15" formatCode="0.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15" formatCode="0.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border diagonalUp="0" diagonalDown="0">
        <left/>
        <right style="thin">
          <color theme="8" tint="-0.249977111117893"/>
        </right>
        <top style="thin">
          <color theme="8" tint="-0.249977111117893"/>
        </top>
        <bottom style="thin">
          <color theme="8" tint="-0.249977111117893"/>
        </bottom>
      </border>
      <protection locked="1" hidden="1"/>
    </dxf>
    <dxf>
      <border outline="0">
        <top style="thin">
          <color theme="8" tint="-0.249977111117893"/>
        </top>
      </border>
    </dxf>
    <dxf>
      <border outline="0">
        <left style="thin">
          <color theme="8" tint="-0.249977111117893"/>
        </left>
        <right style="thin">
          <color theme="8" tint="-0.249977111117893"/>
        </right>
        <top style="thin">
          <color theme="8" tint="-0.249977111117893"/>
        </top>
        <bottom style="thin">
          <color theme="8" tint="-0.249977111117893"/>
        </bottom>
      </border>
    </dxf>
    <dxf>
      <fill>
        <patternFill patternType="solid">
          <fgColor indexed="64"/>
          <bgColor rgb="FF92D050"/>
        </patternFill>
      </fill>
      <protection locked="1" hidden="1"/>
    </dxf>
    <dxf>
      <border outline="0">
        <bottom style="thin">
          <color theme="8" tint="-0.249977111117893"/>
        </bottom>
      </border>
    </dxf>
    <dxf>
      <protection locked="1" hidden="1"/>
    </dxf>
    <dxf>
      <fill>
        <patternFill patternType="none">
          <fgColor indexed="64"/>
          <bgColor indexed="65"/>
        </patternFill>
      </fill>
      <alignment horizontal="general" vertical="bottom" textRotation="0" wrapText="1" indent="0" justifyLastLine="0" shrinkToFit="0" readingOrder="0"/>
      <border diagonalUp="0" diagonalDown="0">
        <left style="thin">
          <color theme="8" tint="-0.249977111117893"/>
        </left>
        <right/>
        <top style="thin">
          <color theme="8" tint="-0.249977111117893"/>
        </top>
        <bottom style="thin">
          <color theme="8" tint="-0.249977111117893"/>
        </bottom>
        <vertical/>
        <horizontal/>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fill>
        <patternFill patternType="none">
          <fgColor indexed="64"/>
          <bgColor indexed="65"/>
        </patternFill>
      </fill>
      <alignment horizontal="general" vertical="bottom" textRotation="0" wrapText="1" indent="0" justifyLastLine="0" shrinkToFit="0" readingOrder="0"/>
      <border diagonalUp="0" diagonalDown="0">
        <left/>
        <right style="thin">
          <color theme="8" tint="-0.249977111117893"/>
        </right>
        <top style="thin">
          <color theme="8" tint="-0.249977111117893"/>
        </top>
        <bottom style="thin">
          <color theme="8" tint="-0.249977111117893"/>
        </bottom>
        <vertical/>
        <horizontal/>
      </border>
      <protection locked="1" hidden="1"/>
    </dxf>
    <dxf>
      <border outline="0">
        <top style="thin">
          <color theme="8" tint="-0.249977111117893"/>
        </top>
      </border>
    </dxf>
    <dxf>
      <border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11"/>
        <color rgb="FF002060"/>
        <name val="Calibri"/>
        <family val="2"/>
        <scheme val="minor"/>
      </font>
      <fill>
        <patternFill patternType="solid">
          <fgColor indexed="64"/>
          <bgColor rgb="FF92D050"/>
        </patternFill>
      </fill>
      <alignment horizontal="right" vertical="bottom" textRotation="0" wrapText="0" indent="0" justifyLastLine="0" shrinkToFit="0" readingOrder="0"/>
      <protection locked="1" hidden="1"/>
    </dxf>
    <dxf>
      <border outline="0">
        <bottom style="thin">
          <color theme="8" tint="-0.249977111117893"/>
        </bottom>
      </border>
    </dxf>
    <dxf>
      <protection locked="1" hidden="1"/>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outline="0">
        <left style="thin">
          <color theme="8" tint="-0.249977111117893"/>
        </left>
        <right/>
        <top style="thin">
          <color theme="8" tint="-0.249977111117893"/>
        </top>
        <bottom/>
      </border>
      <protection locked="1" hidden="1"/>
    </dxf>
    <dxf>
      <font>
        <b val="0"/>
        <i val="0"/>
        <strike val="0"/>
        <condense val="0"/>
        <extend val="0"/>
        <outline val="0"/>
        <shadow val="0"/>
        <u val="none"/>
        <vertAlign val="baseline"/>
        <sz val="11"/>
        <color theme="1"/>
        <name val="Calibri"/>
        <family val="2"/>
        <scheme val="minor"/>
      </font>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vertical/>
        <horizontal/>
      </border>
      <protection locked="1" hidden="1"/>
    </dxf>
    <dxf>
      <font>
        <b val="0"/>
        <i val="0"/>
        <strike val="0"/>
        <condense val="0"/>
        <extend val="0"/>
        <outline val="0"/>
        <shadow val="0"/>
        <u val="none"/>
        <vertAlign val="baseline"/>
        <sz val="11"/>
        <color theme="1"/>
        <name val="Calibri"/>
        <family val="2"/>
        <scheme val="minor"/>
      </font>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vertical/>
        <horizontal/>
      </border>
      <protection locked="1" hidden="1"/>
    </dxf>
    <dxf>
      <font>
        <b val="0"/>
        <i val="0"/>
        <strike val="0"/>
        <condense val="0"/>
        <extend val="0"/>
        <outline val="0"/>
        <shadow val="0"/>
        <u val="none"/>
        <vertAlign val="baseline"/>
        <sz val="11"/>
        <color theme="1"/>
        <name val="Calibri"/>
        <family val="2"/>
        <scheme val="minor"/>
      </font>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vertical/>
        <horizontal/>
      </border>
      <protection locked="1" hidden="1"/>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vertical/>
        <horizontal/>
      </border>
      <protection locked="1" hidden="1"/>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vertical/>
        <horizontal/>
      </border>
      <protection locked="1" hidden="1"/>
    </dxf>
    <dxf>
      <font>
        <b val="0"/>
        <i val="0"/>
        <strike val="0"/>
        <condense val="0"/>
        <extend val="0"/>
        <outline val="0"/>
        <shadow val="0"/>
        <u val="none"/>
        <vertAlign val="baseline"/>
        <sz val="11"/>
        <color theme="1"/>
        <name val="Calibri"/>
        <family val="2"/>
        <scheme val="minor"/>
      </font>
      <border diagonalUp="0" diagonalDown="0">
        <left/>
        <right style="thin">
          <color theme="8" tint="-0.249977111117893"/>
        </right>
        <top style="thin">
          <color theme="8" tint="-0.249977111117893"/>
        </top>
        <bottom/>
        <vertical/>
        <horizontal/>
      </border>
      <protection locked="1" hidden="1"/>
    </dxf>
    <dxf>
      <border outline="0">
        <top style="thin">
          <color theme="8" tint="-0.249977111117893"/>
        </top>
      </border>
    </dxf>
    <dxf>
      <border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protection locked="1" hidden="1"/>
    </dxf>
    <dxf>
      <border outline="0">
        <bottom style="thin">
          <color theme="8" tint="-0.249977111117893"/>
        </bottom>
      </border>
    </dxf>
    <dxf>
      <protection locked="1" hidden="1"/>
    </dxf>
    <dxf>
      <fill>
        <patternFill patternType="none">
          <bgColor auto="1"/>
        </patternFill>
      </fill>
      <alignment horizontal="general" vertical="bottom" textRotation="0" wrapText="1" indent="0" justifyLastLine="0" shrinkToFit="0" readingOrder="0"/>
      <border>
        <left style="thin">
          <color theme="8" tint="-0.249977111117893"/>
        </left>
      </border>
      <protection locked="1" hidden="1"/>
    </dxf>
    <dxf>
      <font>
        <color rgb="FF002060"/>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b val="0"/>
        <i val="0"/>
        <strike val="0"/>
        <condense val="0"/>
        <extend val="0"/>
        <outline val="0"/>
        <shadow val="0"/>
        <u val="none"/>
        <vertAlign val="baseline"/>
        <sz val="11"/>
        <color rgb="FF002060"/>
        <name val="Calibri"/>
        <family val="2"/>
        <scheme val="minor"/>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color rgb="FF002060"/>
      </font>
      <numFmt numFmtId="15" formatCode="0.00E+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color rgb="FF002060"/>
      </font>
      <numFmt numFmtId="2" formatCode="0.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color rgb="FF002060"/>
      </font>
      <numFmt numFmtId="2" formatCode="0.00"/>
      <fill>
        <patternFill patternType="solid">
          <fgColor indexed="64"/>
          <bgColor rgb="FF92D050"/>
        </patternFill>
      </fill>
      <alignment horizontal="right" vertical="bottom" textRotation="0" wrapText="0"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ill>
        <patternFill patternType="none">
          <fgColor indexed="64"/>
          <bgColor auto="1"/>
        </patternFill>
      </fill>
      <border diagonalUp="0" diagonalDown="0">
        <left/>
        <right style="thin">
          <color theme="8" tint="-0.249977111117893"/>
        </right>
        <top style="thin">
          <color theme="8" tint="-0.249977111117893"/>
        </top>
        <bottom style="thin">
          <color theme="8" tint="-0.249977111117893"/>
        </bottom>
      </border>
      <protection locked="1" hidden="1"/>
    </dxf>
    <dxf>
      <border>
        <top style="thin">
          <color theme="8" tint="-0.249977111117893"/>
        </top>
      </border>
    </dxf>
    <dxf>
      <border diagonalUp="0" diagonalDown="0">
        <left style="thin">
          <color theme="8" tint="-0.249977111117893"/>
        </left>
        <right style="thin">
          <color theme="8" tint="-0.249977111117893"/>
        </right>
        <top style="thin">
          <color theme="8" tint="-0.249977111117893"/>
        </top>
        <bottom style="thin">
          <color theme="8" tint="-0.249977111117893"/>
        </bottom>
      </border>
    </dxf>
    <dxf>
      <fill>
        <patternFill patternType="none">
          <bgColor auto="1"/>
        </patternFill>
      </fill>
      <protection locked="1" hidden="1"/>
    </dxf>
    <dxf>
      <border>
        <bottom style="thin">
          <color theme="8" tint="-0.249977111117893"/>
        </bottom>
      </border>
    </dxf>
    <dxf>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protection locked="1" hidden="1"/>
    </dxf>
    <dxf>
      <fill>
        <patternFill patternType="solid">
          <fgColor indexed="64"/>
          <bgColor rgb="FFFFFF00"/>
        </patternFill>
      </fill>
      <border diagonalUp="0" diagonalDown="0" outline="0">
        <left style="thin">
          <color theme="8" tint="-0.249977111117893"/>
        </left>
        <right/>
        <top style="thin">
          <color theme="8" tint="-0.249977111117893"/>
        </top>
        <bottom style="thin">
          <color theme="8" tint="-0.249977111117893"/>
        </bottom>
      </border>
      <protection locked="1" hidden="1"/>
    </dxf>
    <dxf>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165" formatCode="0.0E+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numFmt numFmtId="2" formatCode="0.00"/>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border diagonalUp="0" diagonalDown="0">
        <left/>
        <right style="thin">
          <color theme="8" tint="-0.249977111117893"/>
        </right>
        <top style="thin">
          <color theme="8" tint="-0.249977111117893"/>
        </top>
        <bottom style="thin">
          <color theme="8" tint="-0.249977111117893"/>
        </bottom>
      </border>
      <protection locked="1" hidden="1"/>
    </dxf>
    <dxf>
      <border outline="0">
        <top style="thin">
          <color theme="8" tint="-0.249977111117893"/>
        </top>
      </border>
    </dxf>
    <dxf>
      <border outline="0">
        <left style="thin">
          <color theme="8" tint="-0.249977111117893"/>
        </left>
        <right style="thin">
          <color theme="8" tint="-0.249977111117893"/>
        </right>
        <top style="thin">
          <color theme="8" tint="-0.249977111117893"/>
        </top>
        <bottom style="thin">
          <color theme="8" tint="-0.249977111117893"/>
        </bottom>
      </border>
    </dxf>
    <dxf>
      <fill>
        <patternFill patternType="solid">
          <fgColor indexed="64"/>
          <bgColor rgb="FF92D050"/>
        </patternFill>
      </fill>
      <protection locked="1" hidden="1"/>
    </dxf>
    <dxf>
      <border outline="0">
        <bottom style="thin">
          <color theme="8" tint="-0.249977111117893"/>
        </bottom>
      </border>
    </dxf>
    <dxf>
      <protection locked="1" hidden="1"/>
    </dxf>
    <dxf>
      <fill>
        <patternFill patternType="solid">
          <fgColor indexed="64"/>
          <bgColor rgb="FFFFFF00"/>
        </patternFill>
      </fill>
      <border diagonalUp="0" diagonalDown="0" outline="0">
        <left style="thin">
          <color theme="8" tint="-0.249977111117893"/>
        </left>
        <right/>
        <top style="thin">
          <color theme="8" tint="-0.249977111117893"/>
        </top>
        <bottom style="thin">
          <color theme="8" tint="-0.249977111117893"/>
        </bottom>
      </border>
      <protection locked="1" hidden="1"/>
    </dxf>
    <dxf>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fill>
        <patternFill patternType="solid">
          <fgColor indexed="64"/>
          <bgColor rgb="FF92D050"/>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1" hidden="1"/>
    </dxf>
    <dxf>
      <alignment horizontal="general" vertical="bottom" textRotation="0" wrapText="1" indent="0" justifyLastLine="0" shrinkToFit="0" readingOrder="0"/>
      <border diagonalUp="0" diagonalDown="0">
        <left style="thin">
          <color theme="8" tint="-0.249977111117893"/>
        </left>
        <right style="thin">
          <color theme="8" tint="-0.249977111117893"/>
        </right>
        <top style="thin">
          <color theme="8" tint="-0.249977111117893"/>
        </top>
        <bottom/>
        <vertical/>
        <horizontal/>
      </border>
      <protection locked="1" hidden="1"/>
    </dxf>
    <dxf>
      <alignment horizontal="general" vertical="bottom"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1" hidden="1"/>
    </dxf>
    <dxf>
      <border>
        <top style="thin">
          <color theme="8" tint="-0.249977111117893"/>
        </top>
      </border>
    </dxf>
    <dxf>
      <border diagonalUp="0" diagonalDown="0">
        <left style="thin">
          <color theme="8" tint="-0.249977111117893"/>
        </left>
        <right style="thin">
          <color theme="8" tint="-0.249977111117893"/>
        </right>
        <top style="thin">
          <color theme="8" tint="-0.249977111117893"/>
        </top>
        <bottom style="thin">
          <color theme="8" tint="-0.249977111117893"/>
        </bottom>
      </border>
    </dxf>
    <dxf>
      <protection locked="1" hidden="1"/>
    </dxf>
    <dxf>
      <border outline="0">
        <bottom style="thin">
          <color theme="8" tint="-0.249977111117893"/>
        </bottom>
      </border>
    </dxf>
    <dxf>
      <protection locked="1" hidden="1"/>
    </dxf>
    <dxf>
      <font>
        <b val="0"/>
        <i val="0"/>
        <strike val="0"/>
        <condense val="0"/>
        <extend val="0"/>
        <outline val="0"/>
        <shadow val="0"/>
        <u val="none"/>
        <vertAlign val="baseline"/>
        <sz val="21"/>
        <color theme="1"/>
        <name val="Calibri"/>
        <family val="2"/>
        <scheme val="minor"/>
      </font>
      <numFmt numFmtId="168" formatCode="0.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theme="8" tint="-0.249977111117893"/>
        </left>
        <right/>
        <top style="thin">
          <color theme="8" tint="-0.249977111117893"/>
        </top>
        <bottom/>
        <vertical/>
        <horizontal/>
      </border>
    </dxf>
    <dxf>
      <font>
        <b val="0"/>
        <i val="0"/>
        <strike val="0"/>
        <condense val="0"/>
        <extend val="0"/>
        <outline val="0"/>
        <shadow val="0"/>
        <u val="none"/>
        <vertAlign val="baseline"/>
        <sz val="21"/>
        <color theme="1"/>
        <name val="Calibri"/>
        <family val="2"/>
        <scheme val="minor"/>
      </font>
      <numFmt numFmtId="168" formatCode="0.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theme="8" tint="-0.249977111117893"/>
        </left>
        <right/>
        <top style="thin">
          <color theme="8" tint="-0.249977111117893"/>
        </top>
        <bottom/>
        <vertical/>
        <horizontal/>
      </border>
    </dxf>
    <dxf>
      <font>
        <b val="0"/>
        <i val="0"/>
        <strike val="0"/>
        <condense val="0"/>
        <extend val="0"/>
        <outline val="0"/>
        <shadow val="0"/>
        <u val="none"/>
        <vertAlign val="baseline"/>
        <sz val="21"/>
        <color theme="1"/>
        <name val="Calibri"/>
        <family val="2"/>
        <scheme val="minor"/>
      </font>
      <numFmt numFmtId="168" formatCode="0.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theme="8" tint="-0.249977111117893"/>
        </left>
        <right/>
        <top style="thin">
          <color theme="8" tint="-0.249977111117893"/>
        </top>
        <bottom/>
        <vertical/>
        <horizontal/>
      </border>
    </dxf>
    <dxf>
      <font>
        <b val="0"/>
        <i val="0"/>
        <strike val="0"/>
        <condense val="0"/>
        <extend val="0"/>
        <outline val="0"/>
        <shadow val="0"/>
        <u val="none"/>
        <vertAlign val="baseline"/>
        <sz val="21"/>
        <color theme="1"/>
        <name val="Calibri"/>
        <family val="2"/>
        <scheme val="minor"/>
      </font>
      <numFmt numFmtId="168" formatCode="0.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theme="8" tint="-0.249977111117893"/>
        </left>
        <right/>
        <top style="thin">
          <color theme="8" tint="-0.249977111117893"/>
        </top>
        <bottom/>
        <vertical/>
        <horizontal/>
      </border>
    </dxf>
    <dxf>
      <font>
        <b val="0"/>
        <i val="0"/>
        <strike val="0"/>
        <condense val="0"/>
        <extend val="0"/>
        <outline val="0"/>
        <shadow val="0"/>
        <u val="none"/>
        <vertAlign val="baseline"/>
        <sz val="21"/>
        <color theme="1"/>
        <name val="Calibri"/>
        <family val="2"/>
        <scheme val="minor"/>
      </font>
      <numFmt numFmtId="168" formatCode="0.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theme="8" tint="-0.249977111117893"/>
        </left>
        <right/>
        <top style="thin">
          <color theme="8" tint="-0.249977111117893"/>
        </top>
        <bottom/>
        <vertical/>
        <horizontal/>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left" vertical="top" textRotation="0" wrapText="1" indent="0" justifyLastLine="0" shrinkToFit="0" readingOrder="0"/>
      <border diagonalUp="0" diagonalDown="0">
        <left/>
        <right/>
        <top style="thin">
          <color theme="8" tint="-0.249977111117893"/>
        </top>
        <bottom/>
        <vertical/>
        <horizontal/>
      </border>
    </dxf>
    <dxf>
      <border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21"/>
        <color theme="0"/>
        <name val="Calibri"/>
        <family val="2"/>
        <scheme val="minor"/>
      </font>
      <fill>
        <patternFill patternType="solid">
          <fgColor indexed="64"/>
          <bgColor theme="8" tint="-0.249977111117893"/>
        </patternFill>
      </fill>
      <alignment horizontal="left" vertical="bottom" textRotation="0" wrapText="1" indent="0" justifyLastLine="0" shrinkToFit="0" readingOrder="0"/>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8" tint="-0.249977111117893"/>
        </right>
        <top style="thin">
          <color theme="8" tint="-0.249977111117893"/>
        </top>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outline="0">
        <top style="thin">
          <color theme="8" tint="-0.249977111117893"/>
        </top>
      </border>
    </dxf>
    <dxf>
      <font>
        <strike val="0"/>
        <outline val="0"/>
        <shadow val="0"/>
        <u val="none"/>
        <sz val="21"/>
        <name val="Calibri"/>
        <family val="2"/>
        <scheme val="minor"/>
      </font>
    </dxf>
    <dxf>
      <border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name val="Calibri"/>
        <family val="2"/>
        <scheme val="minor"/>
      </font>
    </dxf>
    <dxf>
      <border outline="0">
        <bottom style="thin">
          <color theme="8" tint="-0.249977111117893"/>
        </bottom>
      </border>
    </dxf>
    <dxf>
      <font>
        <b/>
        <i val="0"/>
        <strike val="0"/>
        <condense val="0"/>
        <extend val="0"/>
        <outline val="0"/>
        <shadow val="0"/>
        <u val="none"/>
        <vertAlign val="baseline"/>
        <sz val="21"/>
        <color theme="0"/>
        <name val="Calibri"/>
        <family val="2"/>
        <scheme val="minor"/>
      </font>
      <fill>
        <patternFill patternType="solid">
          <fgColor theme="4"/>
          <bgColor theme="4"/>
        </patternFill>
      </fill>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8" tint="-0.249977111117893"/>
        </right>
        <top style="thin">
          <color theme="8" tint="-0.249977111117893"/>
        </top>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outline="0">
        <top style="thin">
          <color theme="8" tint="-0.249977111117893"/>
        </top>
      </border>
    </dxf>
    <dxf>
      <font>
        <strike val="0"/>
        <outline val="0"/>
        <shadow val="0"/>
        <u val="none"/>
        <sz val="21"/>
        <name val="Calibri"/>
        <family val="2"/>
        <scheme val="minor"/>
      </font>
    </dxf>
    <dxf>
      <border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name val="Calibri"/>
        <family val="2"/>
        <scheme val="minor"/>
      </font>
    </dxf>
    <dxf>
      <border outline="0">
        <bottom style="thin">
          <color theme="8" tint="-0.249977111117893"/>
        </bottom>
      </border>
    </dxf>
    <dxf>
      <font>
        <b/>
        <i val="0"/>
        <strike val="0"/>
        <condense val="0"/>
        <extend val="0"/>
        <outline val="0"/>
        <shadow val="0"/>
        <u val="none"/>
        <vertAlign val="baseline"/>
        <sz val="21"/>
        <color theme="0"/>
        <name val="Calibri"/>
        <family val="2"/>
        <scheme val="minor"/>
      </font>
      <fill>
        <patternFill patternType="solid">
          <fgColor theme="4"/>
          <bgColor theme="4"/>
        </patternFill>
      </fill>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8" tint="-0.249977111117893"/>
        </right>
        <top style="thin">
          <color theme="8" tint="-0.249977111117893"/>
        </top>
        <bottom/>
      </border>
    </dxf>
    <dxf>
      <font>
        <strike val="0"/>
        <outline val="0"/>
        <shadow val="0"/>
        <u val="none"/>
        <sz val="21"/>
        <name val="Calibri"/>
        <family val="2"/>
        <scheme val="minor"/>
      </font>
      <fill>
        <patternFill patternType="solid">
          <fgColor indexed="64"/>
          <bgColor theme="8" tint="0.79998168889431442"/>
        </patternFill>
      </fill>
      <alignment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outline="0">
        <top style="thin">
          <color theme="8" tint="-0.249977111117893"/>
        </top>
      </border>
    </dxf>
    <dxf>
      <font>
        <strike val="0"/>
        <outline val="0"/>
        <shadow val="0"/>
        <u val="none"/>
        <sz val="21"/>
        <name val="Calibri"/>
        <family val="2"/>
        <scheme val="minor"/>
      </font>
    </dxf>
    <dxf>
      <border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name val="Calibri"/>
        <family val="2"/>
        <scheme val="minor"/>
      </font>
    </dxf>
    <dxf>
      <border outline="0">
        <bottom style="thin">
          <color theme="8" tint="-0.249977111117893"/>
        </bottom>
      </border>
    </dxf>
    <dxf>
      <font>
        <b/>
        <i val="0"/>
        <strike val="0"/>
        <condense val="0"/>
        <extend val="0"/>
        <outline val="0"/>
        <shadow val="0"/>
        <u val="none"/>
        <vertAlign val="baseline"/>
        <sz val="21"/>
        <color theme="0"/>
        <name val="Calibri"/>
        <family val="2"/>
        <scheme val="minor"/>
      </font>
      <fill>
        <patternFill patternType="solid">
          <fgColor theme="4"/>
          <bgColor theme="4"/>
        </patternFill>
      </fill>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8" tint="-0.249977111117893"/>
        </right>
        <top style="thin">
          <color theme="8" tint="-0.249977111117893"/>
        </top>
        <bottom/>
      </border>
    </dxf>
    <dxf>
      <font>
        <b val="0"/>
        <i val="0"/>
        <strike val="0"/>
        <condense val="0"/>
        <extend val="0"/>
        <outline val="0"/>
        <shadow val="0"/>
        <u val="none"/>
        <vertAlign val="baseline"/>
        <sz val="21"/>
        <color auto="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top style="thin">
          <color theme="8" tint="-0.249977111117893"/>
        </top>
      </border>
    </dxf>
    <dxf>
      <font>
        <strike val="0"/>
        <outline val="0"/>
        <shadow val="0"/>
        <u val="none"/>
        <vertAlign val="baseline"/>
        <sz val="21"/>
        <color auto="1"/>
        <name val="Calibri"/>
        <family val="2"/>
        <scheme val="minor"/>
      </font>
      <border diagonalUp="0" diagonalDown="0" outline="0">
        <left style="thin">
          <color theme="8" tint="-0.249977111117893"/>
        </left>
        <right style="thin">
          <color theme="8" tint="-0.249977111117893"/>
        </right>
        <top/>
        <bottom/>
      </border>
    </dxf>
    <dxf>
      <border diagonalUp="0" diagonalDown="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dxf>
    <dxf>
      <border>
        <bottom style="thin">
          <color theme="8" tint="-0.249977111117893"/>
        </bottom>
      </border>
    </dxf>
    <dxf>
      <font>
        <b val="0"/>
        <i val="0"/>
        <strike val="0"/>
        <condense val="0"/>
        <extend val="0"/>
        <outline val="0"/>
        <shadow val="0"/>
        <u val="none"/>
        <vertAlign val="baseline"/>
        <sz val="21"/>
        <color theme="1"/>
        <name val="Calibri"/>
        <family val="2"/>
        <scheme val="minor"/>
      </font>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21"/>
        <color auto="1"/>
        <name val="Calibri"/>
        <family val="2"/>
        <scheme val="minor"/>
      </font>
      <numFmt numFmtId="15" formatCode="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5" formatCode="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5" formatCode="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5" formatCode="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5" formatCode="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69" formatCode="[&gt;=0.01]#,##0.00;0.00E+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numFmt numFmtId="1" formatCode="0"/>
      <fill>
        <patternFill patternType="solid">
          <fgColor indexed="64"/>
          <bgColor theme="8" tint="0.79998168889431442"/>
        </patternFill>
      </fill>
      <alignment textRotation="0" wrapText="1"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border>
        <top style="thin">
          <color theme="8" tint="-0.249977111117893"/>
        </top>
      </border>
    </dxf>
    <dxf>
      <font>
        <strike val="0"/>
        <outline val="0"/>
        <shadow val="0"/>
        <u val="none"/>
        <sz val="21"/>
        <name val="Calibri"/>
        <family val="2"/>
        <scheme val="minor"/>
      </font>
      <border diagonalUp="0" diagonalDown="0" outline="0">
        <left style="thin">
          <color theme="8" tint="-0.249977111117893"/>
        </left>
        <right style="thin">
          <color theme="8" tint="-0.249977111117893"/>
        </right>
        <top/>
        <bottom/>
      </border>
    </dxf>
    <dxf>
      <border diagonalUp="0" diagonalDown="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auto="1"/>
        <name val="Calibri"/>
        <family val="2"/>
        <scheme val="minor"/>
      </font>
      <fill>
        <patternFill patternType="solid">
          <fgColor indexed="64"/>
          <bgColor theme="8" tint="0.59999389629810485"/>
        </patternFill>
      </fill>
    </dxf>
    <dxf>
      <border>
        <bottom style="thin">
          <color theme="8" tint="-0.249977111117893"/>
        </bottom>
      </border>
    </dxf>
    <dxf>
      <font>
        <b val="0"/>
        <i val="0"/>
        <strike val="0"/>
        <condense val="0"/>
        <extend val="0"/>
        <outline val="0"/>
        <shadow val="0"/>
        <u val="none"/>
        <vertAlign val="baseline"/>
        <sz val="21"/>
        <color theme="0"/>
        <name val="Calibri"/>
        <family val="2"/>
        <scheme val="minor"/>
      </font>
      <alignment horizontal="general" vertical="bottom" textRotation="0" wrapText="1" indent="0" justifyLastLine="0" shrinkToFit="0" readingOrder="0"/>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border>
    </dxf>
    <dxf>
      <font>
        <strike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border>
    </dxf>
    <dxf>
      <font>
        <strike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border>
    </dxf>
    <dxf>
      <font>
        <strike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border>
    </dxf>
    <dxf>
      <font>
        <strike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border>
    </dxf>
    <dxf>
      <font>
        <strike val="0"/>
        <outline val="0"/>
        <shadow val="0"/>
        <u val="none"/>
        <vertAlign val="baseline"/>
        <sz val="21"/>
        <color theme="1"/>
        <name val="Calibri"/>
        <family val="2"/>
        <scheme val="minor"/>
      </font>
      <numFmt numFmtId="169" formatCode="[&gt;=0.01]#,##0.00;0.00E+00"/>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b val="0"/>
        <i val="0"/>
        <strike val="0"/>
        <condense val="0"/>
        <extend val="0"/>
        <outline val="0"/>
        <shadow val="0"/>
        <u val="none"/>
        <vertAlign val="baseline"/>
        <sz val="21"/>
        <color theme="1"/>
        <name val="Calibri"/>
        <family val="2"/>
        <scheme val="minor"/>
      </font>
      <fill>
        <patternFill patternType="solid">
          <fgColor indexed="64"/>
          <bgColor theme="8" tint="0.79998168889431442"/>
        </patternFill>
      </fill>
      <alignment horizontal="left" vertical="bottom" textRotation="0" wrapText="1" indent="0" justifyLastLine="0" shrinkToFit="0" readingOrder="0"/>
      <border diagonalUp="0" diagonalDown="0" outline="0">
        <left/>
        <right style="thin">
          <color theme="8" tint="-0.249977111117893"/>
        </right>
        <top style="thin">
          <color theme="8" tint="-0.249977111117893"/>
        </top>
        <bottom/>
      </border>
    </dxf>
    <dxf>
      <font>
        <strike val="0"/>
        <outline val="0"/>
        <shadow val="0"/>
        <u val="none"/>
        <sz val="21"/>
        <name val="Calibri"/>
        <family val="2"/>
        <scheme val="minor"/>
      </font>
      <fill>
        <patternFill patternType="solid">
          <fgColor indexed="64"/>
          <bgColor theme="8" tint="0.79998168889431442"/>
        </patternFill>
      </fill>
      <alignment horizontal="left" vertical="top"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outline="0">
        <top style="thin">
          <color theme="8" tint="-0.249977111117893"/>
        </top>
      </border>
    </dxf>
    <dxf>
      <font>
        <strike val="0"/>
        <outline val="0"/>
        <shadow val="0"/>
        <u val="none"/>
        <sz val="21"/>
        <name val="Calibri"/>
        <family val="2"/>
        <scheme val="minor"/>
      </font>
    </dxf>
    <dxf>
      <border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sz val="21"/>
        <name val="Calibri"/>
        <family val="2"/>
        <scheme val="minor"/>
      </font>
    </dxf>
    <dxf>
      <border outline="0">
        <bottom style="thin">
          <color theme="8" tint="-0.249977111117893"/>
        </bottom>
      </border>
    </dxf>
    <dxf>
      <font>
        <b/>
        <i val="0"/>
        <strike val="0"/>
        <condense val="0"/>
        <extend val="0"/>
        <outline val="0"/>
        <shadow val="0"/>
        <u val="none"/>
        <vertAlign val="baseline"/>
        <sz val="2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theme="8" tint="-0.249977111117893"/>
        </left>
        <right style="thin">
          <color theme="8" tint="-0.249977111117893"/>
        </right>
        <top/>
        <bottom/>
      </border>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i val="0"/>
        <color rgb="FF002060"/>
      </font>
    </dxf>
    <dxf>
      <font>
        <color theme="0" tint="-0.499984740745262"/>
      </font>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ill>
        <patternFill patternType="solid">
          <fgColor indexed="64"/>
          <bgColor theme="8" tint="0.79998168889431442"/>
        </patternFill>
      </fill>
      <border outline="0">
        <left style="thin">
          <color theme="8" tint="-0.249977111117893"/>
        </left>
        <right/>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rgb="FFFFFF66"/>
        </patternFill>
      </fill>
      <alignment horizontal="left" vertical="bottom" textRotation="0" wrapText="1" indent="0" justifyLastLine="0" shrinkToFit="0" readingOrder="0"/>
      <border diagonalUp="0" diagonalDown="0" outline="0">
        <left style="thin">
          <color theme="8" tint="-0.249977111117893"/>
        </left>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8" tint="0.79998168889431442"/>
        </patternFill>
      </fill>
      <border diagonalUp="0" diagonalDown="0" outline="0">
        <left style="thin">
          <color theme="8" tint="-0.249977111117893"/>
        </left>
        <right/>
        <top/>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protection locked="1" hidden="0"/>
    </dxf>
    <dxf>
      <border outline="0">
        <left style="thin">
          <color theme="8" tint="-0.249977111117893"/>
        </left>
        <right style="thin">
          <color theme="8" tint="-0.249977111117893"/>
        </right>
        <bottom style="thin">
          <color theme="4" tint="0.39997558519241921"/>
        </bottom>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rgb="FFFFFF66"/>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4" tint="0.39997558519241921"/>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FFFF66"/>
        </patternFill>
      </fill>
      <border diagonalUp="0" diagonalDown="0">
        <left/>
        <right style="thin">
          <color theme="8" tint="-0.249977111117893"/>
        </right>
        <top style="thin">
          <color theme="8" tint="-0.249977111117893"/>
        </top>
        <bottom style="thin">
          <color theme="8" tint="-0.249977111117893"/>
        </bottom>
      </border>
      <protection locked="0" hidden="0"/>
    </dxf>
    <dxf>
      <border outline="0">
        <top style="thin">
          <color theme="8" tint="-0.249977111117893"/>
        </top>
      </border>
    </dxf>
    <dxf>
      <fill>
        <patternFill patternType="solid">
          <fgColor indexed="64"/>
          <bgColor theme="8" tint="0.79998168889431442"/>
        </patternFill>
      </fill>
      <protection locked="1" hidden="0"/>
    </dxf>
    <dxf>
      <border outline="0">
        <left style="thin">
          <color theme="8" tint="-0.249977111117893"/>
        </left>
        <right style="thin">
          <color theme="8" tint="-0.249977111117893"/>
        </right>
        <top style="thin">
          <color theme="8" tint="-0.249977111117893"/>
        </top>
        <bottom style="thin">
          <color theme="8" tint="-0.249977111117893"/>
        </bottom>
      </border>
    </dxf>
    <dxf>
      <protection locked="1" hidden="0"/>
    </dxf>
    <dxf>
      <border outline="0">
        <bottom style="thin">
          <color theme="8" tint="-0.249977111117893"/>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bottom/>
      </border>
      <protection locked="1" hidden="0"/>
    </dxf>
    <dxf>
      <fill>
        <patternFill patternType="solid">
          <fgColor indexed="64"/>
          <bgColor theme="8" tint="0.79998168889431442"/>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right style="thin">
          <color theme="8" tint="-0.249977111117893"/>
        </right>
        <top style="thin">
          <color theme="8" tint="-0.249977111117893"/>
        </top>
        <bottom/>
      </border>
      <protection locked="0"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8" tint="0.79998168889431442"/>
        </patternFill>
      </fill>
      <border diagonalUp="0" diagonalDown="0" outline="0">
        <left style="thin">
          <color theme="8" tint="-0.249977111117893"/>
        </left>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8" tint="0.79998168889431442"/>
        </patternFill>
      </fill>
      <border diagonalUp="0" diagonalDown="0" outline="0">
        <left/>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8" tint="0.79998168889431442"/>
        </patternFill>
      </fill>
      <border diagonalUp="0" diagonalDown="0" outline="0">
        <left style="thin">
          <color theme="8" tint="-0.249977111117893"/>
        </left>
        <right style="thin">
          <color theme="8" tint="-0.249977111117893"/>
        </right>
        <top/>
        <bottom/>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left/>
        <right style="thin">
          <color theme="8" tint="-0.249977111117893"/>
        </right>
        <top style="thin">
          <color theme="8" tint="-0.249977111117893"/>
        </top>
        <bottom/>
      </border>
      <protection locked="0" hidden="0"/>
    </dxf>
    <dxf>
      <fill>
        <patternFill patternType="solid">
          <fgColor indexed="64"/>
          <bgColor theme="8" tint="0.79998168889431442"/>
        </patternFill>
      </fill>
      <protection locked="1" hidden="0"/>
    </dxf>
    <dxf>
      <border outline="0">
        <left style="thin">
          <color theme="8" tint="-0.249977111117893"/>
        </left>
        <right style="thin">
          <color theme="8" tint="-0.249977111117893"/>
        </right>
        <bottom style="thin">
          <color theme="8" tint="-0.249977111117893"/>
        </bottom>
      </border>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protection locked="1" hidden="0"/>
    </dxf>
    <dxf>
      <font>
        <b/>
        <i val="0"/>
        <strike val="0"/>
        <condense val="0"/>
        <extend val="0"/>
        <outline val="0"/>
        <shadow val="0"/>
        <u val="none"/>
        <vertAlign val="baseline"/>
        <sz val="11"/>
        <color theme="0"/>
        <name val="Calibri"/>
        <family val="2"/>
        <scheme val="minor"/>
      </font>
      <fill>
        <patternFill patternType="solid">
          <fgColor theme="4"/>
          <bgColor theme="8" tint="-0.249977111117893"/>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4"/>
        <color theme="1"/>
        <name val="Calibri"/>
        <family val="2"/>
        <scheme val="minor"/>
      </font>
      <fill>
        <patternFill patternType="darkDown">
          <fgColor auto="1"/>
          <bgColor theme="8" tint="0.59999389629810485"/>
        </patternFill>
      </fill>
      <alignment horizontal="general" vertical="center" textRotation="0" wrapText="0" indent="0" justifyLastLine="0" shrinkToFit="0" readingOrder="0"/>
      <border diagonalUp="0" diagonalDown="0" outline="0">
        <left style="thin">
          <color theme="8" tint="-0.249977111117893"/>
        </left>
        <right/>
        <top style="thin">
          <color theme="8" tint="-0.249977111117893"/>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indexed="64"/>
          <bgColor rgb="FFFFFF66"/>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theme="8" tint="0.59999389629810485"/>
        </patternFill>
      </fill>
      <border diagonalUp="0" diagonalDown="0" outline="0">
        <left style="thin">
          <color theme="8" tint="-0.249977111117893"/>
        </left>
        <right style="thin">
          <color theme="8" tint="-0.249977111117893"/>
        </right>
        <top/>
        <bottom/>
      </border>
    </dxf>
    <dxf>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ill>
        <patternFill patternType="solid">
          <fgColor indexed="64"/>
          <bgColor rgb="FFFFFF66"/>
        </patternFill>
      </fill>
      <alignment horizontal="general" vertical="center" textRotation="0" wrapText="0" indent="0" justifyLastLine="0" shrinkToFit="0" readingOrder="0"/>
      <border diagonalUp="0" diagonalDown="0" outline="0">
        <left style="thin">
          <color theme="8" tint="-0.249977111117893"/>
        </left>
        <right style="thin">
          <color theme="8" tint="-0.249977111117893"/>
        </right>
        <top/>
        <bottom/>
      </border>
    </dxf>
    <dxf>
      <numFmt numFmtId="4" formatCode="#,##0.00"/>
      <fill>
        <patternFill patternType="solid">
          <fgColor indexed="64"/>
          <bgColor rgb="FFFFFF66"/>
        </patternFill>
      </fill>
      <alignment horizontal="general" vertical="center"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theme="8" tint="0.59999389629810485"/>
        </patternFill>
      </fill>
      <border diagonalUp="0" diagonalDown="0" outline="0">
        <left/>
        <right style="thin">
          <color theme="8" tint="-0.249977111117893"/>
        </right>
        <top/>
        <bottom/>
      </border>
    </dxf>
    <dxf>
      <fill>
        <patternFill patternType="solid">
          <fgColor indexed="64"/>
          <bgColor theme="8" tint="0.79998168889431442"/>
        </patternFill>
      </fill>
      <border diagonalUp="0" diagonalDown="0" outline="0">
        <left/>
        <right style="thin">
          <color theme="8" tint="-0.249977111117893"/>
        </right>
        <top style="thin">
          <color theme="8" tint="-0.249977111117893"/>
        </top>
        <bottom style="thin">
          <color theme="8" tint="-0.249977111117893"/>
        </bottom>
      </border>
      <protection locked="1" hidden="0"/>
    </dxf>
    <dxf>
      <protection locked="1" hidden="0"/>
    </dxf>
    <dxf>
      <border outline="0">
        <left style="thin">
          <color theme="8" tint="-0.249977111117893"/>
        </left>
        <top style="thin">
          <color theme="8" tint="-0.249977111117893"/>
        </top>
      </border>
    </dxf>
    <dxf>
      <protection locked="1" hidden="0"/>
    </dxf>
    <dxf>
      <border outline="0">
        <bottom style="thin">
          <color theme="8" tint="-0.249977111117893"/>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bottom/>
      </border>
      <protection locked="1" hidden="0"/>
    </dxf>
    <dxf>
      <font>
        <b val="0"/>
        <i val="0"/>
        <strike val="0"/>
        <condense val="0"/>
        <extend val="0"/>
        <outline val="0"/>
        <shadow val="0"/>
        <u val="none"/>
        <vertAlign val="baseline"/>
        <sz val="14"/>
        <color theme="1"/>
        <name val="Calibri"/>
        <family val="2"/>
        <scheme val="minor"/>
      </font>
      <fill>
        <patternFill patternType="darkDown">
          <fgColor auto="1"/>
          <bgColor theme="8" tint="0.59999389629810485"/>
        </patternFill>
      </fill>
      <alignment horizontal="general" vertical="center" textRotation="0" wrapText="0" indent="0" justifyLastLine="0" shrinkToFit="0" readingOrder="0"/>
      <border diagonalUp="0" diagonalDown="0" outline="0">
        <left style="thin">
          <color theme="8" tint="-0.249977111117893"/>
        </left>
        <right/>
        <top style="thin">
          <color theme="8" tint="-0.249977111117893"/>
        </top>
        <bottom style="thin">
          <color theme="4" tint="0.39997558519241921"/>
        </bottom>
      </border>
    </dxf>
    <dxf>
      <font>
        <b val="0"/>
        <i val="0"/>
        <strike val="0"/>
        <condense val="0"/>
        <extend val="0"/>
        <outline val="0"/>
        <shadow val="0"/>
        <u val="none"/>
        <vertAlign val="baseline"/>
        <sz val="11"/>
        <color rgb="FFFF0000"/>
        <name val="Calibri"/>
        <family val="2"/>
        <scheme val="minor"/>
      </font>
      <fill>
        <patternFill patternType="solid">
          <fgColor indexed="64"/>
          <bgColor rgb="FFFFFF66"/>
        </patternFill>
      </fill>
      <alignment horizontal="general" vertical="bottom" textRotation="0" wrapText="1"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8" tint="-0.249977111117893"/>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style="thin">
          <color theme="8" tint="-0.249977111117893"/>
        </left>
        <right/>
        <top style="thin">
          <color theme="8" tint="-0.249977111117893"/>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alignment horizontal="general" vertical="center" textRotation="0" wrapText="0" indent="0" justifyLastLine="0" shrinkToFit="0" readingOrder="0"/>
      <border diagonalUp="0" diagonalDown="0" outline="0">
        <left style="thin">
          <color theme="8" tint="-0.249977111117893"/>
        </left>
        <right/>
        <top/>
        <bottom/>
      </border>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rgb="FFFFFF66"/>
        </patternFill>
      </fill>
      <alignment horizontal="general" vertical="center" textRotation="0" wrapText="0" indent="0" justifyLastLine="0" shrinkToFit="0" readingOrder="0"/>
      <border diagonalUp="0" diagonalDown="0" outline="0">
        <left/>
        <right style="thin">
          <color theme="8" tint="-0.249977111117893"/>
        </right>
        <top style="thin">
          <color theme="8" tint="-0.249977111117893"/>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border diagonalUp="0" diagonalDown="0" outline="0">
        <left/>
        <right/>
        <top style="thin">
          <color theme="8" tint="-0.249977111117893"/>
        </top>
        <bottom/>
      </border>
      <protection locked="1" hidden="0"/>
    </dxf>
    <dxf>
      <protection locked="1" hidden="0"/>
    </dxf>
    <dxf>
      <border outline="0">
        <left style="thin">
          <color theme="8" tint="-0.249977111117893"/>
        </left>
        <top style="thin">
          <color theme="8" tint="-0.249977111117893"/>
        </top>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minor"/>
      </font>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theme="8" tint="0.59999389629810485"/>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fill>
        <patternFill patternType="solid">
          <fgColor indexed="64"/>
          <bgColor theme="8" tint="0.59999389629810485"/>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dxf>
    <dxf>
      <numFmt numFmtId="4" formatCode="#,##0.00"/>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border diagonalUp="0" diagonalDown="0" outline="0">
        <left style="thin">
          <color theme="8" tint="-0.249977111117893"/>
        </left>
        <right style="thin">
          <color theme="8" tint="-0.249977111117893"/>
        </right>
        <top style="thin">
          <color theme="8" tint="-0.249977111117893"/>
        </top>
        <bottom style="thin">
          <color theme="8" tint="-0.249977111117893"/>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protection locked="1" hidden="0"/>
    </dxf>
    <dxf>
      <border outline="0">
        <left style="thin">
          <color theme="8" tint="-0.249977111117893"/>
        </left>
        <right style="thin">
          <color theme="8" tint="-0.249977111117893"/>
        </right>
        <top style="thin">
          <color theme="8" tint="-0.249977111117893"/>
        </top>
      </border>
    </dxf>
    <dxf>
      <fill>
        <patternFill patternType="none">
          <fgColor indexed="64"/>
          <bgColor auto="1"/>
        </patternFill>
      </fill>
      <protection locked="1" hidden="0"/>
    </dxf>
    <dxf>
      <border outline="0">
        <bottom style="thin">
          <color theme="8" tint="-0.249977111117893"/>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bottom/>
      </border>
      <protection locked="1" hidden="0"/>
    </dxf>
    <dxf>
      <font>
        <b val="0"/>
        <i val="0"/>
        <strike val="0"/>
        <condense val="0"/>
        <extend val="0"/>
        <outline val="0"/>
        <shadow val="0"/>
        <u val="none"/>
        <vertAlign val="baseline"/>
        <sz val="14"/>
        <color theme="1"/>
        <name val="Calibri"/>
        <family val="2"/>
        <scheme val="minor"/>
      </font>
      <fill>
        <patternFill patternType="darkDown">
          <fgColor auto="1"/>
          <bgColor theme="8" tint="0.59999389629810485"/>
        </patternFill>
      </fill>
      <alignment horizontal="general" vertical="center" textRotation="0" wrapText="0" indent="0" justifyLastLine="0" shrinkToFit="0" readingOrder="0"/>
      <border diagonalUp="0" diagonalDown="0" outline="0">
        <left style="thin">
          <color theme="8" tint="-0.249977111117893"/>
        </left>
        <right/>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66"/>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4"/>
        <color theme="1"/>
        <name val="Calibri"/>
        <family val="2"/>
        <scheme val="minor"/>
      </font>
      <fill>
        <patternFill patternType="darkDown">
          <fgColor auto="1"/>
          <bgColor theme="8" tint="0.59999389629810485"/>
        </patternFill>
      </fill>
      <alignment horizontal="general" vertical="center" textRotation="0" wrapText="0" indent="0" justifyLastLine="0" shrinkToFit="0" readingOrder="0"/>
      <border diagonalUp="0" diagonalDown="0" outline="0">
        <left style="thin">
          <color theme="8" tint="-0.249977111117893"/>
        </left>
        <right/>
        <top/>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66"/>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ont>
        <b val="0"/>
        <i val="0"/>
        <strike val="0"/>
        <condense val="0"/>
        <extend val="0"/>
        <outline val="0"/>
        <shadow val="0"/>
        <u val="none"/>
        <vertAlign val="baseline"/>
        <sz val="14"/>
        <color theme="1"/>
        <name val="Calibri"/>
        <family val="2"/>
        <scheme val="minor"/>
      </font>
      <fill>
        <patternFill patternType="darkDown">
          <fgColor auto="1"/>
          <bgColor theme="8" tint="0.59999389629810485"/>
        </patternFill>
      </fill>
      <alignment horizontal="general" vertical="center" textRotation="0" wrapText="0" indent="0" justifyLastLine="0" shrinkToFit="0" readingOrder="0"/>
      <border diagonalUp="0" diagonalDown="0" outline="0">
        <left style="thin">
          <color theme="8" tint="-0.249977111117893"/>
        </left>
        <right/>
        <top/>
        <bottom/>
      </border>
      <protection locked="0" hidden="0"/>
    </dxf>
    <dxf>
      <font>
        <strike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1" hidden="0"/>
    </dxf>
    <dxf>
      <numFmt numFmtId="4" formatCode="#,##0.00"/>
      <fill>
        <patternFill patternType="solid">
          <fgColor indexed="64"/>
          <bgColor theme="8" tint="0.59999389629810485"/>
        </patternFill>
      </fill>
      <border diagonalUp="0" diagonalDown="0" outline="0">
        <left style="thin">
          <color theme="8" tint="-0.249977111117893"/>
        </left>
        <right style="thin">
          <color theme="8" tint="-0.249977111117893"/>
        </right>
        <top style="thin">
          <color theme="8" tint="-0.249977111117893"/>
        </top>
        <bottom/>
      </border>
      <protection locked="0" hidden="0"/>
    </dxf>
    <dxf>
      <numFmt numFmtId="4" formatCode="#,##0.00"/>
      <fill>
        <patternFill patternType="solid">
          <fgColor indexed="64"/>
          <bgColor rgb="FFFFFF66"/>
        </patternFill>
      </fill>
      <border diagonalUp="0" diagonalDown="0" outline="0">
        <left/>
        <right style="thin">
          <color theme="8" tint="-0.249977111117893"/>
        </right>
        <top style="thin">
          <color theme="8" tint="-0.249977111117893"/>
        </top>
        <bottom style="thin">
          <color theme="8" tint="-0.249977111117893"/>
        </bottom>
      </border>
      <protection locked="0" hidden="0"/>
    </dxf>
    <dxf>
      <font>
        <b/>
        <i val="0"/>
        <strike val="0"/>
        <condense val="0"/>
        <extend val="0"/>
        <outline val="0"/>
        <shadow val="0"/>
        <u val="none"/>
        <vertAlign val="baseline"/>
        <sz val="11"/>
        <color auto="1"/>
        <name val="Calibri"/>
        <family val="2"/>
        <scheme val="minor"/>
      </font>
      <fill>
        <patternFill patternType="solid">
          <fgColor theme="0"/>
          <bgColor theme="8" tint="0.59999389629810485"/>
        </patternFill>
      </fill>
      <alignment horizontal="left" vertical="center" textRotation="0" wrapText="1" indent="0" justifyLastLine="0" shrinkToFit="0" readingOrder="0"/>
      <border diagonalUp="0" diagonalDown="0" outline="0">
        <left/>
        <right style="thin">
          <color theme="8" tint="-0.249977111117893"/>
        </right>
        <top style="thin">
          <color theme="8" tint="-0.249977111117893"/>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66"/>
        </patternFill>
      </fill>
      <alignment horizontal="left" vertical="center" textRotation="0" wrapText="1" indent="0" justifyLastLine="0" shrinkToFit="0" readingOrder="0"/>
      <border diagonalUp="0" diagonalDown="0">
        <left/>
        <right style="thin">
          <color theme="8" tint="-0.249977111117893"/>
        </right>
        <top style="thin">
          <color theme="8" tint="-0.249977111117893"/>
        </top>
        <bottom style="thin">
          <color theme="8" tint="-0.249977111117893"/>
        </bottom>
      </border>
      <protection locked="0" hidden="0"/>
    </dxf>
    <dxf>
      <border>
        <top style="thin">
          <color theme="8" tint="-0.249977111117893"/>
        </top>
      </border>
    </dxf>
    <dxf>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protection locked="1" hidden="0"/>
    </dxf>
    <dxf>
      <border diagonalUp="0" diagonalDown="0">
        <left style="thin">
          <color theme="8" tint="-0.249977111117893"/>
        </left>
        <right style="thin">
          <color theme="8" tint="-0.249977111117893"/>
        </right>
        <top style="thin">
          <color theme="8" tint="-0.249977111117893"/>
        </top>
        <bottom style="thin">
          <color theme="8" tint="-0.249977111117893"/>
        </bottom>
      </border>
    </dxf>
    <dxf>
      <protection locked="1" hidden="0"/>
    </dxf>
    <dxf>
      <border>
        <bottom style="thin">
          <color theme="8" tint="-0.249977111117893"/>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protection locked="1" hidden="0"/>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top style="thin">
          <color theme="8" tint="-0.249977111117893"/>
        </top>
        <bottom/>
      </border>
      <protection locked="1" hidden="0"/>
    </dxf>
    <dxf>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theme="8" tint="-0.249977111117893"/>
        </left>
        <right/>
        <top style="thin">
          <color theme="8" tint="-0.249977111117893"/>
        </top>
        <bottom style="thin">
          <color theme="8" tint="-0.249977111117893"/>
        </bottom>
      </border>
      <protection locked="1" hidden="0"/>
    </dxf>
    <dxf>
      <fill>
        <patternFill patternType="solid">
          <fgColor indexed="64"/>
          <bgColor theme="8" tint="0.79998168889431442"/>
        </patternFill>
      </fill>
      <alignment horizontal="general" vertical="bottom" textRotation="0" wrapText="0" indent="0" justifyLastLine="0" shrinkToFit="0" readingOrder="0"/>
      <border diagonalUp="0" diagonalDown="0" outline="0">
        <left/>
        <right style="thin">
          <color theme="8" tint="-0.249977111117893"/>
        </right>
        <top style="thin">
          <color theme="8" tint="-0.249977111117893"/>
        </top>
        <bottom/>
      </border>
      <protection locked="1" hidden="0"/>
    </dxf>
    <dxf>
      <alignment horizontal="center" vertical="bottom" textRotation="0" wrapText="0" indent="0" justifyLastLine="0" shrinkToFit="0" readingOrder="0"/>
      <border outline="0">
        <left style="thin">
          <color theme="8" tint="-0.249977111117893"/>
        </left>
        <right style="thin">
          <color theme="8" tint="-0.249977111117893"/>
        </right>
      </border>
      <protection locked="0" hidden="0"/>
    </dxf>
    <dxf>
      <fill>
        <patternFill patternType="solid">
          <fgColor indexed="64"/>
          <bgColor theme="8" tint="0.79998168889431442"/>
        </patternFill>
      </fill>
      <alignment horizontal="general" vertical="bottom" textRotation="0" wrapText="0" indent="0" justifyLastLine="0" shrinkToFit="0" readingOrder="0"/>
      <border diagonalUp="0" diagonalDown="0" outline="0">
        <left/>
        <right style="thin">
          <color theme="8" tint="-0.249977111117893"/>
        </right>
        <top style="thin">
          <color theme="8" tint="-0.249977111117893"/>
        </top>
        <bottom/>
      </border>
      <protection locked="1" hidden="0"/>
    </dxf>
    <dxf>
      <fill>
        <patternFill patternType="solid">
          <fgColor indexed="64"/>
          <bgColor rgb="FFFFFF66"/>
        </patternFill>
      </fill>
      <border diagonalUp="0" diagonalDown="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theme="8" tint="0.79998168889431442"/>
        </patternFill>
      </fill>
      <alignment horizontal="general" vertical="bottom" textRotation="0" wrapText="0" indent="0" justifyLastLine="0" shrinkToFit="0" readingOrder="0"/>
      <border diagonalUp="0" diagonalDown="0" outline="0">
        <left/>
        <right style="thin">
          <color theme="8" tint="-0.249977111117893"/>
        </right>
        <top style="thin">
          <color theme="8" tint="-0.249977111117893"/>
        </top>
        <bottom/>
      </border>
      <protection locked="1" hidden="0"/>
    </dxf>
    <dxf>
      <numFmt numFmtId="3" formatCode="#,##0"/>
      <fill>
        <patternFill patternType="solid">
          <fgColor indexed="64"/>
          <bgColor rgb="FFFFFF66"/>
        </patternFill>
      </fill>
      <alignment horizontal="general" vertical="bottom" textRotation="0" wrapText="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protection locked="0" hidden="0"/>
    </dxf>
    <dxf>
      <fill>
        <patternFill patternType="solid">
          <fgColor indexed="64"/>
          <bgColor theme="8" tint="0.79998168889431442"/>
        </patternFill>
      </fill>
      <alignment horizontal="general" vertical="bottom" textRotation="0" wrapText="0" indent="0" justifyLastLine="0" shrinkToFit="0" readingOrder="0"/>
      <border diagonalUp="0" diagonalDown="0" outline="0">
        <left/>
        <right style="thin">
          <color theme="8" tint="-0.249977111117893"/>
        </right>
        <top style="thin">
          <color theme="8" tint="-0.249977111117893"/>
        </top>
        <bottom/>
      </border>
      <protection locked="1" hidden="0"/>
    </dxf>
    <dxf>
      <fill>
        <patternFill patternType="solid">
          <fgColor indexed="64"/>
          <bgColor theme="8" tint="0.79998168889431442"/>
        </patternFill>
      </fill>
      <alignment horizontal="general" vertical="bottom" textRotation="0" wrapText="0" indent="0" justifyLastLine="0" shrinkToFit="0" readingOrder="0"/>
      <border diagonalUp="0" diagonalDown="0" outline="0">
        <left/>
        <right style="thin">
          <color theme="8" tint="-0.249977111117893"/>
        </right>
        <top style="thin">
          <color theme="8" tint="-0.249977111117893"/>
        </top>
        <bottom style="thin">
          <color theme="8" tint="-0.249977111117893"/>
        </bottom>
      </border>
      <protection locked="1" hidden="0"/>
    </dxf>
    <dxf>
      <border outline="0">
        <top style="thin">
          <color theme="8" tint="-0.249977111117893"/>
        </top>
      </border>
    </dxf>
    <dxf>
      <fill>
        <patternFill patternType="solid">
          <fgColor indexed="64"/>
          <bgColor theme="8" tint="0.79998168889431442"/>
        </patternFill>
      </fill>
      <protection locked="1" hidden="0"/>
    </dxf>
    <dxf>
      <border outline="0">
        <left style="thin">
          <color theme="8" tint="-0.249977111117893"/>
        </left>
        <right style="thin">
          <color theme="8" tint="-0.249977111117893"/>
        </right>
        <top style="thin">
          <color theme="8" tint="-0.249977111117893"/>
        </top>
        <bottom style="thin">
          <color theme="8" tint="-0.249977111117893"/>
        </bottom>
      </border>
    </dxf>
    <dxf>
      <protection locked="1" hidden="0"/>
    </dxf>
    <dxf>
      <border outline="0">
        <bottom style="thin">
          <color theme="8" tint="-0.249977111117893"/>
        </bottom>
      </border>
    </dxf>
    <dxf>
      <alignment horizontal="general" vertical="top" textRotation="0" wrapText="1" indent="0" justifyLastLine="0" shrinkToFit="0" readingOrder="0"/>
      <border diagonalUp="0" diagonalDown="0">
        <left style="thin">
          <color theme="8" tint="-0.249977111117893"/>
        </left>
        <right style="thin">
          <color theme="8" tint="-0.249977111117893"/>
        </right>
        <top/>
        <bottom/>
      </border>
      <protection locked="1" hidden="0"/>
    </dxf>
  </dxfs>
  <tableStyles count="0" defaultTableStyle="TableStyleMedium2" defaultPivotStyle="PivotStyleLight16"/>
  <colors>
    <mruColors>
      <color rgb="FFFFCCFF"/>
      <color rgb="FFFF99FF"/>
      <color rgb="FFCCFFCC"/>
      <color rgb="FFFFFF66"/>
      <color rgb="FF7DDDFF"/>
      <color rgb="FFCCFF99"/>
      <color rgb="FFFFFF00"/>
      <color rgb="FFFF66CC"/>
      <color rgb="FFCC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Ergebnisse!$D$12</c:f>
          <c:strCache>
            <c:ptCount val="1"/>
            <c:pt idx="0">
              <c:v>Die funktionelle Einheit dieser Ökobilanz ist  0 m² bewertete Streufläche im Bilanzzeitraum 01.11.2023-30.11.2023</c:v>
            </c:pt>
          </c:strCache>
        </c:strRef>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0"/>
          <c:order val="0"/>
          <c:tx>
            <c:strRef>
              <c:f>Ergebnisse!$C$77</c:f>
              <c:strCache>
                <c:ptCount val="1"/>
                <c:pt idx="0">
                  <c:v>Herstellung der Streumittel (trockene Streumittel und Sole)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Ergebnisse!$D$77:$H$77</c:f>
            </c:numRef>
          </c:val>
          <c:extLst>
            <c:ext xmlns:c16="http://schemas.microsoft.com/office/drawing/2014/chart" uri="{C3380CC4-5D6E-409C-BE32-E72D297353CC}">
              <c16:uniqueId val="{00000000-F2AF-45F1-9C06-2BC53C76EFD9}"/>
            </c:ext>
          </c:extLst>
        </c:ser>
        <c:ser>
          <c:idx val="1"/>
          <c:order val="1"/>
          <c:tx>
            <c:strRef>
              <c:f>Ergebnisse!$C$78</c:f>
              <c:strCache>
                <c:ptCount val="1"/>
                <c:pt idx="0">
                  <c:v>Transporte der Streumittel (trockene Streumittel und Sole)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Ergebnisse!$D$78:$H$78</c:f>
            </c:numRef>
          </c:val>
          <c:extLst>
            <c:ext xmlns:c16="http://schemas.microsoft.com/office/drawing/2014/chart" uri="{C3380CC4-5D6E-409C-BE32-E72D297353CC}">
              <c16:uniqueId val="{00000001-F2AF-45F1-9C06-2BC53C76EFD9}"/>
            </c:ext>
          </c:extLst>
        </c:ser>
        <c:ser>
          <c:idx val="2"/>
          <c:order val="2"/>
          <c:tx>
            <c:strRef>
              <c:f>Ergebnisse!$C$79</c:f>
              <c:strCache>
                <c:ptCount val="1"/>
                <c:pt idx="0">
                  <c:v>Ausbringung der Streumittel (direkte Emisssionen bei der Ausbringung und Herstellung Kraftstoffe)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Ergebnisse!$D$79:$H$79</c:f>
            </c:numRef>
          </c:val>
          <c:extLst>
            <c:ext xmlns:c16="http://schemas.microsoft.com/office/drawing/2014/chart" uri="{C3380CC4-5D6E-409C-BE32-E72D297353CC}">
              <c16:uniqueId val="{00000002-F2AF-45F1-9C06-2BC53C76EFD9}"/>
            </c:ext>
          </c:extLst>
        </c:ser>
        <c:ser>
          <c:idx val="3"/>
          <c:order val="3"/>
          <c:tx>
            <c:strRef>
              <c:f>Ergebnisse!$C$80</c:f>
              <c:strCache>
                <c:ptCount val="1"/>
                <c:pt idx="0">
                  <c:v>Stromverbrauch in der Meisterei / im Bauhof (Bereitstellung Strom, Netzbezug)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Ergebnisse!$D$80:$H$80</c:f>
            </c:numRef>
          </c:val>
          <c:extLst>
            <c:ext xmlns:c16="http://schemas.microsoft.com/office/drawing/2014/chart" uri="{C3380CC4-5D6E-409C-BE32-E72D297353CC}">
              <c16:uniqueId val="{00000003-F2AF-45F1-9C06-2BC53C76EFD9}"/>
            </c:ext>
          </c:extLst>
        </c:ser>
        <c:ser>
          <c:idx val="4"/>
          <c:order val="4"/>
          <c:tx>
            <c:strRef>
              <c:f>Ergebnisse!$C$81</c:f>
              <c:strCache>
                <c:ptCount val="1"/>
                <c:pt idx="0">
                  <c:v>Stromverbrauch in der Meisterei / im Bauhof (Bereitstellung Strom, eigene Stromerzeugung)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Ergebnisse!$D$81:$H$81</c:f>
            </c:numRef>
          </c:val>
          <c:extLst>
            <c:ext xmlns:c16="http://schemas.microsoft.com/office/drawing/2014/chart" uri="{C3380CC4-5D6E-409C-BE32-E72D297353CC}">
              <c16:uniqueId val="{00000004-F2AF-45F1-9C06-2BC53C76EFD9}"/>
            </c:ext>
          </c:extLst>
        </c:ser>
        <c:ser>
          <c:idx val="5"/>
          <c:order val="5"/>
          <c:tx>
            <c:strRef>
              <c:f>Ergebnisse!$C$82</c:f>
              <c:strCache>
                <c:ptCount val="1"/>
                <c:pt idx="0">
                  <c:v>Wärmeverbrauch in der Meisterei / im Bauhof (Bereitstellung Wärme, Netzbezug)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Ergebnisse!$D$82:$H$82</c:f>
            </c:numRef>
          </c:val>
          <c:extLst>
            <c:ext xmlns:c16="http://schemas.microsoft.com/office/drawing/2014/chart" uri="{C3380CC4-5D6E-409C-BE32-E72D297353CC}">
              <c16:uniqueId val="{00000005-F2AF-45F1-9C06-2BC53C76EFD9}"/>
            </c:ext>
          </c:extLst>
        </c:ser>
        <c:ser>
          <c:idx val="6"/>
          <c:order val="6"/>
          <c:tx>
            <c:strRef>
              <c:f>Ergebnisse!$C$83</c:f>
              <c:strCache>
                <c:ptCount val="1"/>
                <c:pt idx="0">
                  <c:v>Wärmeverbrauch in der Meisterei / im Bauhof (Bereitstellung Wärme, eigene Wärmeerzeugung)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Ergebnisse!$D$83:$H$83</c:f>
            </c:numRef>
          </c:val>
          <c:extLst>
            <c:ext xmlns:c16="http://schemas.microsoft.com/office/drawing/2014/chart" uri="{C3380CC4-5D6E-409C-BE32-E72D297353CC}">
              <c16:uniqueId val="{00000006-F2AF-45F1-9C06-2BC53C76EFD9}"/>
            </c:ext>
          </c:extLst>
        </c:ser>
        <c:ser>
          <c:idx val="7"/>
          <c:order val="7"/>
          <c:tx>
            <c:strRef>
              <c:f>Ergebnisse!$C$84</c:f>
              <c:strCache>
                <c:ptCount val="1"/>
                <c:pt idx="0">
                  <c:v>Wasserverbrauch (Bereitstellung Trinwasser, Bezug Leitungswasser) für Sole-Herstellung sowie die Reinigung von Fahrzeugen und Streumaschinen</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Ergebnisse!$D$84:$H$84</c:f>
            </c:numRef>
          </c:val>
          <c:extLst>
            <c:ext xmlns:c16="http://schemas.microsoft.com/office/drawing/2014/chart" uri="{C3380CC4-5D6E-409C-BE32-E72D297353CC}">
              <c16:uniqueId val="{00000007-F2AF-45F1-9C06-2BC53C76EFD9}"/>
            </c:ext>
          </c:extLst>
        </c:ser>
        <c:ser>
          <c:idx val="8"/>
          <c:order val="8"/>
          <c:tx>
            <c:strRef>
              <c:f>Ergebnisse!$C$85</c:f>
              <c:strCache>
                <c:ptCount val="1"/>
                <c:pt idx="0">
                  <c:v>Herstellung von Motor- und Hydrauliköl sowie Diesel für Prozesse in der Meisterei / im Bauhof</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Ergebnisse!$D$85:$H$85</c:f>
            </c:numRef>
          </c:val>
          <c:extLst>
            <c:ext xmlns:c16="http://schemas.microsoft.com/office/drawing/2014/chart" uri="{C3380CC4-5D6E-409C-BE32-E72D297353CC}">
              <c16:uniqueId val="{00000008-F2AF-45F1-9C06-2BC53C76EFD9}"/>
            </c:ext>
          </c:extLst>
        </c:ser>
        <c:dLbls>
          <c:dLblPos val="ctr"/>
          <c:showLegendKey val="0"/>
          <c:showVal val="1"/>
          <c:showCatName val="0"/>
          <c:showSerName val="0"/>
          <c:showPercent val="0"/>
          <c:showBubbleSize val="0"/>
        </c:dLbls>
        <c:gapWidth val="150"/>
        <c:overlap val="100"/>
        <c:axId val="1377740064"/>
        <c:axId val="1377747552"/>
        <c:extLst>
          <c:ext xmlns:c15="http://schemas.microsoft.com/office/drawing/2012/chart" uri="{02D57815-91ED-43cb-92C2-25804820EDAC}">
            <c15:filteredBarSeries>
              <c15:ser>
                <c:idx val="9"/>
                <c:order val="9"/>
                <c:tx>
                  <c:strRef>
                    <c:extLst>
                      <c:ext uri="{02D57815-91ED-43cb-92C2-25804820EDAC}">
                        <c15:formulaRef>
                          <c15:sqref>Ergebnisse!$C$86</c15:sqref>
                        </c15:formulaRef>
                      </c:ext>
                    </c:extLst>
                    <c:strCache>
                      <c:ptCount val="1"/>
                      <c:pt idx="0">
                        <c:v>Summe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Ergebnisse!$D$76:$H$76</c15:sqref>
                        </c15:formulaRef>
                      </c:ext>
                    </c:extLst>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extLst>
                      <c:ext uri="{02D57815-91ED-43cb-92C2-25804820EDAC}">
                        <c15:formulaRef>
                          <c15:sqref>Ergebnisse!$D$86:$H$86</c15:sqref>
                        </c15:formulaRef>
                      </c:ext>
                    </c:extLst>
                  </c:numRef>
                </c:val>
                <c:extLst>
                  <c:ext xmlns:c16="http://schemas.microsoft.com/office/drawing/2014/chart" uri="{C3380CC4-5D6E-409C-BE32-E72D297353CC}">
                    <c16:uniqueId val="{00000009-F2AF-45F1-9C06-2BC53C76EFD9}"/>
                  </c:ext>
                </c:extLst>
              </c15:ser>
            </c15:filteredBarSeries>
          </c:ext>
        </c:extLst>
      </c:barChart>
      <c:catAx>
        <c:axId val="137774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377747552"/>
        <c:crosses val="autoZero"/>
        <c:auto val="1"/>
        <c:lblAlgn val="ctr"/>
        <c:lblOffset val="100"/>
        <c:noMultiLvlLbl val="0"/>
      </c:catAx>
      <c:valAx>
        <c:axId val="1377747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37774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Ergebnisse!$D$12</c:f>
          <c:strCache>
            <c:ptCount val="1"/>
            <c:pt idx="0">
              <c:v>Die funktionelle Einheit dieser Ökobilanz ist  0 m² bewertete Streufläche im Bilanzzeitraum 01.11.2023-30.11.2023</c:v>
            </c:pt>
          </c:strCache>
        </c:strRef>
      </c:tx>
      <c:layout>
        <c:manualLayout>
          <c:xMode val="edge"/>
          <c:yMode val="edge"/>
          <c:x val="0.11788692197375651"/>
          <c:y val="1.3869625520110958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427757849829095E-2"/>
          <c:y val="7.7069395451782124E-2"/>
          <c:w val="0.62477522881012149"/>
          <c:h val="0.8329184587220716"/>
        </c:manualLayout>
      </c:layout>
      <c:barChart>
        <c:barDir val="col"/>
        <c:grouping val="percentStacked"/>
        <c:varyColors val="0"/>
        <c:ser>
          <c:idx val="0"/>
          <c:order val="0"/>
          <c:tx>
            <c:strRef>
              <c:f>Ergebnisse!$C$77</c:f>
              <c:strCache>
                <c:ptCount val="1"/>
                <c:pt idx="0">
                  <c:v>Herstellung der Streumittel (trockene Streumittel und Sole)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Ergebnisse!$D$77:$H$77</c:f>
            </c:numRef>
          </c:val>
          <c:extLst>
            <c:ext xmlns:c16="http://schemas.microsoft.com/office/drawing/2014/chart" uri="{C3380CC4-5D6E-409C-BE32-E72D297353CC}">
              <c16:uniqueId val="{00000000-1AD7-4395-B4A4-5929F0DC64D0}"/>
            </c:ext>
          </c:extLst>
        </c:ser>
        <c:ser>
          <c:idx val="1"/>
          <c:order val="1"/>
          <c:tx>
            <c:strRef>
              <c:f>Ergebnisse!$C$78</c:f>
              <c:strCache>
                <c:ptCount val="1"/>
                <c:pt idx="0">
                  <c:v>Transporte der Streumittel (trockene Streumittel und Sole)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Ergebnisse!$D$78:$H$78</c:f>
            </c:numRef>
          </c:val>
          <c:extLst>
            <c:ext xmlns:c16="http://schemas.microsoft.com/office/drawing/2014/chart" uri="{C3380CC4-5D6E-409C-BE32-E72D297353CC}">
              <c16:uniqueId val="{00000001-1AD7-4395-B4A4-5929F0DC64D0}"/>
            </c:ext>
          </c:extLst>
        </c:ser>
        <c:ser>
          <c:idx val="2"/>
          <c:order val="2"/>
          <c:tx>
            <c:strRef>
              <c:f>Ergebnisse!$C$79</c:f>
              <c:strCache>
                <c:ptCount val="1"/>
                <c:pt idx="0">
                  <c:v>Ausbringung der Streumittel (direkte Emisssionen bei der Ausbringung und Herstellung Kraftstoffe)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Ergebnisse!$D$79:$H$79</c:f>
            </c:numRef>
          </c:val>
          <c:extLst>
            <c:ext xmlns:c16="http://schemas.microsoft.com/office/drawing/2014/chart" uri="{C3380CC4-5D6E-409C-BE32-E72D297353CC}">
              <c16:uniqueId val="{00000002-1AD7-4395-B4A4-5929F0DC64D0}"/>
            </c:ext>
          </c:extLst>
        </c:ser>
        <c:ser>
          <c:idx val="3"/>
          <c:order val="3"/>
          <c:tx>
            <c:strRef>
              <c:f>Ergebnisse!$C$80</c:f>
              <c:strCache>
                <c:ptCount val="1"/>
                <c:pt idx="0">
                  <c:v>Stromverbrauch in der Meisterei / im Bauhof (Bereitstellung Strom, Netzbezug)</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Ergebnisse!$D$80:$H$80</c:f>
            </c:numRef>
          </c:val>
          <c:extLst>
            <c:ext xmlns:c16="http://schemas.microsoft.com/office/drawing/2014/chart" uri="{C3380CC4-5D6E-409C-BE32-E72D297353CC}">
              <c16:uniqueId val="{00000003-1AD7-4395-B4A4-5929F0DC64D0}"/>
            </c:ext>
          </c:extLst>
        </c:ser>
        <c:ser>
          <c:idx val="4"/>
          <c:order val="4"/>
          <c:tx>
            <c:strRef>
              <c:f>Ergebnisse!$C$81</c:f>
              <c:strCache>
                <c:ptCount val="1"/>
                <c:pt idx="0">
                  <c:v>Stromverbrauch in der Meisterei / im Bauhof (Bereitstellung Strom, eigene Stromerzeugung)</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Ergebnisse!$D$81:$H$81</c:f>
            </c:numRef>
          </c:val>
          <c:extLst>
            <c:ext xmlns:c16="http://schemas.microsoft.com/office/drawing/2014/chart" uri="{C3380CC4-5D6E-409C-BE32-E72D297353CC}">
              <c16:uniqueId val="{00000004-1AD7-4395-B4A4-5929F0DC64D0}"/>
            </c:ext>
          </c:extLst>
        </c:ser>
        <c:ser>
          <c:idx val="5"/>
          <c:order val="5"/>
          <c:tx>
            <c:strRef>
              <c:f>Ergebnisse!$C$82</c:f>
              <c:strCache>
                <c:ptCount val="1"/>
                <c:pt idx="0">
                  <c:v>Wärmeverbrauch in der Meisterei / im Bauhof (Bereitstellung Wärme, Netzbezug)</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Ergebnisse!$D$82:$H$82</c:f>
            </c:numRef>
          </c:val>
          <c:extLst>
            <c:ext xmlns:c16="http://schemas.microsoft.com/office/drawing/2014/chart" uri="{C3380CC4-5D6E-409C-BE32-E72D297353CC}">
              <c16:uniqueId val="{00000005-1AD7-4395-B4A4-5929F0DC64D0}"/>
            </c:ext>
          </c:extLst>
        </c:ser>
        <c:ser>
          <c:idx val="6"/>
          <c:order val="6"/>
          <c:tx>
            <c:strRef>
              <c:f>Ergebnisse!$C$83</c:f>
              <c:strCache>
                <c:ptCount val="1"/>
                <c:pt idx="0">
                  <c:v>Wärmeverbrauch in der Meisterei / im Bauhof (Bereitstellung Wärme, eigene Wärmeerzeugung)</c:v>
                </c:pt>
              </c:strCache>
            </c:strRef>
          </c:tx>
          <c:spPr>
            <a:solidFill>
              <a:srgbClr val="7DDD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Ergebnisse!$D$83:$H$83</c:f>
            </c:numRef>
          </c:val>
          <c:extLst>
            <c:ext xmlns:c16="http://schemas.microsoft.com/office/drawing/2014/chart" uri="{C3380CC4-5D6E-409C-BE32-E72D297353CC}">
              <c16:uniqueId val="{00000006-1AD7-4395-B4A4-5929F0DC64D0}"/>
            </c:ext>
          </c:extLst>
        </c:ser>
        <c:ser>
          <c:idx val="7"/>
          <c:order val="7"/>
          <c:tx>
            <c:strRef>
              <c:f>Ergebnisse!$C$84</c:f>
              <c:strCache>
                <c:ptCount val="1"/>
                <c:pt idx="0">
                  <c:v>Wasserverbrauch (Bereitstellung Trinwasser, Bezug Leitungswasser) für Sole-Herstellung sowie die Reinigung von Fahrzeugen und Streumaschinen</c:v>
                </c:pt>
              </c:strCache>
            </c:strRef>
          </c:tx>
          <c:spPr>
            <a:solidFill>
              <a:schemeClr val="accent2">
                <a:lumMod val="6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Ergebnisse!$D$84:$H$84</c:f>
            </c:numRef>
          </c:val>
          <c:extLst>
            <c:ext xmlns:c16="http://schemas.microsoft.com/office/drawing/2014/chart" uri="{C3380CC4-5D6E-409C-BE32-E72D297353CC}">
              <c16:uniqueId val="{00000007-1AD7-4395-B4A4-5929F0DC64D0}"/>
            </c:ext>
          </c:extLst>
        </c:ser>
        <c:ser>
          <c:idx val="8"/>
          <c:order val="8"/>
          <c:tx>
            <c:strRef>
              <c:f>Ergebnisse!$C$85</c:f>
              <c:strCache>
                <c:ptCount val="1"/>
                <c:pt idx="0">
                  <c:v>Herstellung von Motor- und Hydrauliköl sowie Diesel für Prozesse in der Meisterei / im Bauhof</c:v>
                </c:pt>
              </c:strCache>
            </c:strRef>
          </c:tx>
          <c:spPr>
            <a:solidFill>
              <a:srgbClr val="FFCCFF"/>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Ergebnisse!$D$76:$H$76</c:f>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f>Ergebnisse!$D$85:$H$85</c:f>
            </c:numRef>
          </c:val>
          <c:extLst>
            <c:ext xmlns:c16="http://schemas.microsoft.com/office/drawing/2014/chart" uri="{C3380CC4-5D6E-409C-BE32-E72D297353CC}">
              <c16:uniqueId val="{00000008-1AD7-4395-B4A4-5929F0DC64D0}"/>
            </c:ext>
          </c:extLst>
        </c:ser>
        <c:dLbls>
          <c:dLblPos val="ctr"/>
          <c:showLegendKey val="0"/>
          <c:showVal val="1"/>
          <c:showCatName val="0"/>
          <c:showSerName val="0"/>
          <c:showPercent val="0"/>
          <c:showBubbleSize val="0"/>
        </c:dLbls>
        <c:gapWidth val="150"/>
        <c:overlap val="100"/>
        <c:axId val="1044061552"/>
        <c:axId val="1044061136"/>
        <c:extLst>
          <c:ext xmlns:c15="http://schemas.microsoft.com/office/drawing/2012/chart" uri="{02D57815-91ED-43cb-92C2-25804820EDAC}">
            <c15:filteredBarSeries>
              <c15:ser>
                <c:idx val="9"/>
                <c:order val="9"/>
                <c:tx>
                  <c:strRef>
                    <c:extLst>
                      <c:ext uri="{02D57815-91ED-43cb-92C2-25804820EDAC}">
                        <c15:formulaRef>
                          <c15:sqref>Ergebnisse!$C$86</c15:sqref>
                        </c15:formulaRef>
                      </c:ext>
                    </c:extLst>
                    <c:strCache>
                      <c:ptCount val="1"/>
                      <c:pt idx="0">
                        <c:v>Summe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Ergebnisse!$D$76:$H$76</c15:sqref>
                        </c15:formulaRef>
                      </c:ext>
                    </c:extLst>
                    <c:strCache>
                      <c:ptCount val="5"/>
                      <c:pt idx="0">
                        <c:v>Kumulierter Energie Aufwand
(MJ / funktionelle Einheit)</c:v>
                      </c:pt>
                      <c:pt idx="1">
                        <c:v>Treibhauspotenzial 
(kg CO2-Äq / funktionelle Einheit)</c:v>
                      </c:pt>
                      <c:pt idx="2">
                        <c:v>Versauerungspotenzial
(mol H+-Äq/ funktionelle Einheit)</c:v>
                      </c:pt>
                      <c:pt idx="3">
                        <c:v>Ozonabbaupotenzial
(kg CFC11-Äq / funktionelle Einheit)</c:v>
                      </c:pt>
                      <c:pt idx="4">
                        <c:v>Photooxidantienpotenzial 
(kg NMVOC-Äq / funktionelle Einheit)</c:v>
                      </c:pt>
                    </c:strCache>
                  </c:strRef>
                </c:cat>
                <c:val>
                  <c:numRef>
                    <c:extLst>
                      <c:ext uri="{02D57815-91ED-43cb-92C2-25804820EDAC}">
                        <c15:formulaRef>
                          <c15:sqref>Ergebnisse!$D$86:$H$86</c15:sqref>
                        </c15:formulaRef>
                      </c:ext>
                    </c:extLst>
                  </c:numRef>
                </c:val>
                <c:extLst>
                  <c:ext xmlns:c16="http://schemas.microsoft.com/office/drawing/2014/chart" uri="{C3380CC4-5D6E-409C-BE32-E72D297353CC}">
                    <c16:uniqueId val="{00000009-1AD7-4395-B4A4-5929F0DC64D0}"/>
                  </c:ext>
                </c:extLst>
              </c15:ser>
            </c15:filteredBarSeries>
          </c:ext>
        </c:extLst>
      </c:barChart>
      <c:catAx>
        <c:axId val="104406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044061136"/>
        <c:crosses val="autoZero"/>
        <c:auto val="1"/>
        <c:lblAlgn val="ctr"/>
        <c:lblOffset val="100"/>
        <c:noMultiLvlLbl val="0"/>
      </c:catAx>
      <c:valAx>
        <c:axId val="104406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de-DE"/>
          </a:p>
        </c:txPr>
        <c:crossAx val="1044061552"/>
        <c:crosses val="autoZero"/>
        <c:crossBetween val="between"/>
      </c:valAx>
      <c:spPr>
        <a:noFill/>
        <a:ln>
          <a:noFill/>
        </a:ln>
        <a:effectLst/>
      </c:spPr>
    </c:plotArea>
    <c:legend>
      <c:legendPos val="r"/>
      <c:layout>
        <c:manualLayout>
          <c:xMode val="edge"/>
          <c:yMode val="edge"/>
          <c:x val="0.66810506427097749"/>
          <c:y val="0.11609886999419192"/>
          <c:w val="0.32867561996966072"/>
          <c:h val="0.73166317445613405"/>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Eingabe Untersuchungsrahmen'!A1"/><Relationship Id="rId2" Type="http://schemas.openxmlformats.org/officeDocument/2006/relationships/hyperlink" Target="#'Eingabe spezifische Daten'!A1"/><Relationship Id="rId1" Type="http://schemas.openxmlformats.org/officeDocument/2006/relationships/hyperlink" Target="#Ergebnisse!A12"/><Relationship Id="rId6" Type="http://schemas.openxmlformats.org/officeDocument/2006/relationships/hyperlink" Target="#Quellen!A1"/><Relationship Id="rId5" Type="http://schemas.openxmlformats.org/officeDocument/2006/relationships/hyperlink" Target="#Einleitung!A6"/><Relationship Id="rId4" Type="http://schemas.openxmlformats.org/officeDocument/2006/relationships/hyperlink" Target="#Emissionsfaktoren!A1"/></Relationships>
</file>

<file path=xl/drawings/_rels/drawing3.xml.rels><?xml version="1.0" encoding="UTF-8" standalone="yes"?>
<Relationships xmlns="http://schemas.openxmlformats.org/package/2006/relationships"><Relationship Id="rId3" Type="http://schemas.openxmlformats.org/officeDocument/2006/relationships/hyperlink" Target="#'Eingabe Untersuchungsrahmen'!A1"/><Relationship Id="rId2" Type="http://schemas.openxmlformats.org/officeDocument/2006/relationships/hyperlink" Target="#'Eingabe spezifische Daten'!A1"/><Relationship Id="rId1" Type="http://schemas.openxmlformats.org/officeDocument/2006/relationships/hyperlink" Target="#Ergebnisse!A12"/><Relationship Id="rId6" Type="http://schemas.openxmlformats.org/officeDocument/2006/relationships/hyperlink" Target="#Quellen!A1"/><Relationship Id="rId5" Type="http://schemas.openxmlformats.org/officeDocument/2006/relationships/hyperlink" Target="#Einleitung!A6"/><Relationship Id="rId4" Type="http://schemas.openxmlformats.org/officeDocument/2006/relationships/hyperlink" Target="#Emissionsfaktoren!A1"/></Relationships>
</file>

<file path=xl/drawings/_rels/drawing4.xml.rels><?xml version="1.0" encoding="UTF-8" standalone="yes"?>
<Relationships xmlns="http://schemas.openxmlformats.org/package/2006/relationships"><Relationship Id="rId3" Type="http://schemas.openxmlformats.org/officeDocument/2006/relationships/hyperlink" Target="#'Eingabe Untersuchungsrahmen'!A1"/><Relationship Id="rId7" Type="http://schemas.openxmlformats.org/officeDocument/2006/relationships/hyperlink" Target="#'Eingabe spezifische Daten'!A7"/><Relationship Id="rId2" Type="http://schemas.openxmlformats.org/officeDocument/2006/relationships/hyperlink" Target="#'Eingabe spezifische Daten'!A1"/><Relationship Id="rId1" Type="http://schemas.openxmlformats.org/officeDocument/2006/relationships/hyperlink" Target="#Ergebnisse!A12"/><Relationship Id="rId6" Type="http://schemas.openxmlformats.org/officeDocument/2006/relationships/hyperlink" Target="#Quellen!A1"/><Relationship Id="rId5" Type="http://schemas.openxmlformats.org/officeDocument/2006/relationships/hyperlink" Target="#Einleitung!A6"/><Relationship Id="rId4" Type="http://schemas.openxmlformats.org/officeDocument/2006/relationships/hyperlink" Target="#Emissionsfaktoren!A1"/></Relationships>
</file>

<file path=xl/drawings/_rels/drawing5.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Eingabe Untersuchungsrahmen'!A1"/><Relationship Id="rId7" Type="http://schemas.openxmlformats.org/officeDocument/2006/relationships/chart" Target="../charts/chart1.xml"/><Relationship Id="rId2" Type="http://schemas.openxmlformats.org/officeDocument/2006/relationships/hyperlink" Target="#'Eingabe spezifische Daten'!A1"/><Relationship Id="rId1" Type="http://schemas.openxmlformats.org/officeDocument/2006/relationships/hyperlink" Target="#Ergebnisse!A12"/><Relationship Id="rId6" Type="http://schemas.openxmlformats.org/officeDocument/2006/relationships/hyperlink" Target="#Quellen!A1"/><Relationship Id="rId5" Type="http://schemas.openxmlformats.org/officeDocument/2006/relationships/hyperlink" Target="#Einleitung!A6"/><Relationship Id="rId4" Type="http://schemas.openxmlformats.org/officeDocument/2006/relationships/hyperlink" Target="#Emissionsfaktoren!A1"/></Relationships>
</file>

<file path=xl/drawings/_rels/drawing6.xml.rels><?xml version="1.0" encoding="UTF-8" standalone="yes"?>
<Relationships xmlns="http://schemas.openxmlformats.org/package/2006/relationships"><Relationship Id="rId3" Type="http://schemas.openxmlformats.org/officeDocument/2006/relationships/hyperlink" Target="#'Eingabe Untersuchungsrahmen'!A1"/><Relationship Id="rId2" Type="http://schemas.openxmlformats.org/officeDocument/2006/relationships/hyperlink" Target="#'Eingabe spezifische Daten'!A1"/><Relationship Id="rId1" Type="http://schemas.openxmlformats.org/officeDocument/2006/relationships/hyperlink" Target="#Ergebnisse!A12"/><Relationship Id="rId6" Type="http://schemas.openxmlformats.org/officeDocument/2006/relationships/hyperlink" Target="#Emissionsfaktoren!A1"/><Relationship Id="rId5" Type="http://schemas.openxmlformats.org/officeDocument/2006/relationships/hyperlink" Target="#Quellen!A1"/><Relationship Id="rId4" Type="http://schemas.openxmlformats.org/officeDocument/2006/relationships/hyperlink" Target="#Einleitung!A6"/></Relationships>
</file>

<file path=xl/drawings/_rels/drawing7.xml.rels><?xml version="1.0" encoding="UTF-8" standalone="yes"?>
<Relationships xmlns="http://schemas.openxmlformats.org/package/2006/relationships"><Relationship Id="rId3" Type="http://schemas.openxmlformats.org/officeDocument/2006/relationships/hyperlink" Target="#'Eingabe spezifische Daten'!A1"/><Relationship Id="rId2" Type="http://schemas.openxmlformats.org/officeDocument/2006/relationships/hyperlink" Target="#Ergebnisse!A12"/><Relationship Id="rId1" Type="http://schemas.openxmlformats.org/officeDocument/2006/relationships/hyperlink" Target="#Quellen!A1"/><Relationship Id="rId6" Type="http://schemas.openxmlformats.org/officeDocument/2006/relationships/hyperlink" Target="#Einleitung!A6"/><Relationship Id="rId5" Type="http://schemas.openxmlformats.org/officeDocument/2006/relationships/hyperlink" Target="#Emissionsfaktoren!A1"/><Relationship Id="rId4" Type="http://schemas.openxmlformats.org/officeDocument/2006/relationships/hyperlink" Target="#'Eingabe Untersuchungsrahmen'!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91440</xdr:rowOff>
    </xdr:from>
    <xdr:ext cx="7696200" cy="1152525"/>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97180" y="1188720"/>
          <a:ext cx="7696200" cy="1152525"/>
        </a:xfrm>
        <a:prstGeom prst="rect">
          <a:avLst/>
        </a:prstGeom>
        <a:solidFill>
          <a:srgbClr val="CCCC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800" baseline="0"/>
            <a:t>ÖkoWin-Tool - Berechnungswerkzeug für die Erstellung orientierender Ökobilanzen des Straßenwinterdienstes</a:t>
          </a:r>
        </a:p>
        <a:p>
          <a:endParaRPr lang="de-DE" sz="1400" i="1">
            <a:solidFill>
              <a:schemeClr val="tx1"/>
            </a:solidFill>
            <a:effectLst/>
            <a:latin typeface="+mn-lt"/>
            <a:ea typeface="+mn-ea"/>
            <a:cs typeface="+mn-cs"/>
          </a:endParaRPr>
        </a:p>
        <a:p>
          <a:r>
            <a:rPr lang="de-DE" sz="1400" i="1">
              <a:solidFill>
                <a:srgbClr val="FF0000"/>
              </a:solidFill>
              <a:effectLst/>
              <a:latin typeface="+mn-lt"/>
              <a:ea typeface="+mn-ea"/>
              <a:cs typeface="+mn-cs"/>
            </a:rPr>
            <a:t>Version 1.0 (Stand 01.12.2023) </a:t>
          </a:r>
        </a:p>
      </xdr:txBody>
    </xdr:sp>
    <xdr:clientData/>
  </xdr:oneCellAnchor>
  <xdr:twoCellAnchor editAs="oneCell">
    <xdr:from>
      <xdr:col>3</xdr:col>
      <xdr:colOff>460662</xdr:colOff>
      <xdr:row>1</xdr:row>
      <xdr:rowOff>124599</xdr:rowOff>
    </xdr:from>
    <xdr:to>
      <xdr:col>6</xdr:col>
      <xdr:colOff>662257</xdr:colOff>
      <xdr:row>4</xdr:row>
      <xdr:rowOff>139589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802" y="307479"/>
          <a:ext cx="2579035" cy="563630"/>
        </a:xfrm>
        <a:prstGeom prst="rect">
          <a:avLst/>
        </a:prstGeom>
      </xdr:spPr>
    </xdr:pic>
    <xdr:clientData/>
  </xdr:twoCellAnchor>
  <xdr:twoCellAnchor editAs="oneCell">
    <xdr:from>
      <xdr:col>10</xdr:col>
      <xdr:colOff>58364</xdr:colOff>
      <xdr:row>1</xdr:row>
      <xdr:rowOff>7487</xdr:rowOff>
    </xdr:from>
    <xdr:to>
      <xdr:col>11</xdr:col>
      <xdr:colOff>418011</xdr:colOff>
      <xdr:row>4</xdr:row>
      <xdr:rowOff>169236</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3442" y="193017"/>
          <a:ext cx="1141526" cy="718341"/>
        </a:xfrm>
        <a:prstGeom prst="rect">
          <a:avLst/>
        </a:prstGeom>
        <a:noFill/>
        <a:ln>
          <a:noFill/>
        </a:ln>
      </xdr:spPr>
    </xdr:pic>
    <xdr:clientData/>
  </xdr:twoCellAnchor>
  <xdr:twoCellAnchor editAs="oneCell">
    <xdr:from>
      <xdr:col>0</xdr:col>
      <xdr:colOff>274320</xdr:colOff>
      <xdr:row>0</xdr:row>
      <xdr:rowOff>14155</xdr:rowOff>
    </xdr:from>
    <xdr:to>
      <xdr:col>3</xdr:col>
      <xdr:colOff>195897</xdr:colOff>
      <xdr:row>5</xdr:row>
      <xdr:rowOff>119835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74320" y="14155"/>
          <a:ext cx="1803717" cy="1020080"/>
        </a:xfrm>
        <a:prstGeom prst="rect">
          <a:avLst/>
        </a:prstGeom>
      </xdr:spPr>
    </xdr:pic>
    <xdr:clientData/>
  </xdr:twoCellAnchor>
  <xdr:twoCellAnchor editAs="oneCell">
    <xdr:from>
      <xdr:col>6</xdr:col>
      <xdr:colOff>775252</xdr:colOff>
      <xdr:row>1</xdr:row>
      <xdr:rowOff>33132</xdr:rowOff>
    </xdr:from>
    <xdr:to>
      <xdr:col>9</xdr:col>
      <xdr:colOff>748748</xdr:colOff>
      <xdr:row>5</xdr:row>
      <xdr:rowOff>27138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982817" y="218662"/>
          <a:ext cx="2319131" cy="736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138623</xdr:colOff>
      <xdr:row>1</xdr:row>
      <xdr:rowOff>893</xdr:rowOff>
    </xdr:from>
    <xdr:to>
      <xdr:col>7</xdr:col>
      <xdr:colOff>2322258</xdr:colOff>
      <xdr:row>2</xdr:row>
      <xdr:rowOff>175362</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305311" y="183456"/>
          <a:ext cx="11407010" cy="357031"/>
          <a:chOff x="301909" y="182322"/>
          <a:chExt cx="11418349" cy="355897"/>
        </a:xfrm>
      </xdr:grpSpPr>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xdr:cNvSpPr>
        </xdr:nvSpPr>
        <xdr:spPr>
          <a:xfrm>
            <a:off x="6932676" y="182322"/>
            <a:ext cx="1463528" cy="35589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4" name="Rechteck: abgerundete Ecken 3">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xdr:cNvSpPr>
        </xdr:nvSpPr>
        <xdr:spPr>
          <a:xfrm>
            <a:off x="4543634" y="182322"/>
            <a:ext cx="2372495" cy="35589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5" name="Rechteck: abgerundete Ecken 4">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xdr:cNvSpPr>
        </xdr:nvSpPr>
        <xdr:spPr>
          <a:xfrm>
            <a:off x="1789899" y="182322"/>
            <a:ext cx="2737188" cy="35589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xdr:cNvSpPr>
        </xdr:nvSpPr>
        <xdr:spPr>
          <a:xfrm>
            <a:off x="8412751" y="182322"/>
            <a:ext cx="1829014" cy="35589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sp macro="" textlink="">
        <xdr:nvSpPr>
          <xdr:cNvPr id="8" name="Rechteck: abgerundete Ecken 7">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xdr:cNvSpPr>
        </xdr:nvSpPr>
        <xdr:spPr>
          <a:xfrm>
            <a:off x="301909" y="182322"/>
            <a:ext cx="1471442" cy="355897"/>
          </a:xfrm>
          <a:prstGeom prst="roundRect">
            <a:avLst/>
          </a:prstGeom>
          <a:solidFill>
            <a:schemeClr val="accent2">
              <a:lumMod val="75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sp macro="" textlink="">
        <xdr:nvSpPr>
          <xdr:cNvPr id="9" name="Rechteck: abgerundete Ecken 8">
            <a:hlinkClick xmlns:r="http://schemas.openxmlformats.org/officeDocument/2006/relationships" r:id="rId6"/>
            <a:extLst>
              <a:ext uri="{FF2B5EF4-FFF2-40B4-BE49-F238E27FC236}">
                <a16:creationId xmlns:a16="http://schemas.microsoft.com/office/drawing/2014/main" id="{00000000-0008-0000-0100-000009000000}"/>
              </a:ext>
            </a:extLst>
          </xdr:cNvPr>
          <xdr:cNvSpPr>
            <a:spLocks/>
          </xdr:cNvSpPr>
        </xdr:nvSpPr>
        <xdr:spPr>
          <a:xfrm>
            <a:off x="10258313" y="182322"/>
            <a:ext cx="1461945" cy="35589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grpSp>
    <xdr:clientData/>
  </xdr:twoCellAnchor>
  <xdr:twoCellAnchor editAs="absolute">
    <xdr:from>
      <xdr:col>0</xdr:col>
      <xdr:colOff>122305</xdr:colOff>
      <xdr:row>3</xdr:row>
      <xdr:rowOff>44977</xdr:rowOff>
    </xdr:from>
    <xdr:to>
      <xdr:col>7</xdr:col>
      <xdr:colOff>4234040</xdr:colOff>
      <xdr:row>4</xdr:row>
      <xdr:rowOff>39063</xdr:rowOff>
    </xdr:to>
    <xdr:grpSp>
      <xdr:nvGrpSpPr>
        <xdr:cNvPr id="18" name="Gruppieren 17">
          <a:extLst>
            <a:ext uri="{FF2B5EF4-FFF2-40B4-BE49-F238E27FC236}">
              <a16:creationId xmlns:a16="http://schemas.microsoft.com/office/drawing/2014/main" id="{00000000-0008-0000-0100-000012000000}"/>
            </a:ext>
          </a:extLst>
        </xdr:cNvPr>
        <xdr:cNvGrpSpPr/>
      </xdr:nvGrpSpPr>
      <xdr:grpSpPr>
        <a:xfrm>
          <a:off x="122305" y="711727"/>
          <a:ext cx="13501798" cy="295711"/>
          <a:chOff x="89647" y="752549"/>
          <a:chExt cx="13342821" cy="288000"/>
        </a:xfrm>
      </xdr:grpSpPr>
      <xdr:sp macro="[0]!Einleitung.scrollToZiel" textlink="">
        <xdr:nvSpPr>
          <xdr:cNvPr id="10" name="Rechteck: abgerundete Ecken 9">
            <a:extLst>
              <a:ext uri="{FF2B5EF4-FFF2-40B4-BE49-F238E27FC236}">
                <a16:creationId xmlns:a16="http://schemas.microsoft.com/office/drawing/2014/main" id="{00000000-0008-0000-0100-00000A000000}"/>
              </a:ext>
            </a:extLst>
          </xdr:cNvPr>
          <xdr:cNvSpPr>
            <a:spLocks/>
          </xdr:cNvSpPr>
        </xdr:nvSpPr>
        <xdr:spPr>
          <a:xfrm>
            <a:off x="89647" y="752549"/>
            <a:ext cx="1223042" cy="288000"/>
          </a:xfrm>
          <a:prstGeom prst="roundRect">
            <a:avLst/>
          </a:prstGeom>
          <a:solidFill>
            <a:srgbClr val="FFCCCC"/>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Ziel des Tools</a:t>
            </a:r>
          </a:p>
        </xdr:txBody>
      </xdr:sp>
      <xdr:sp macro="[0]!Einleitung.scrollToZielgruppe" textlink="">
        <xdr:nvSpPr>
          <xdr:cNvPr id="11" name="Rechteck: abgerundete Ecken 10">
            <a:extLst>
              <a:ext uri="{FF2B5EF4-FFF2-40B4-BE49-F238E27FC236}">
                <a16:creationId xmlns:a16="http://schemas.microsoft.com/office/drawing/2014/main" id="{00000000-0008-0000-0100-00000B000000}"/>
              </a:ext>
            </a:extLst>
          </xdr:cNvPr>
          <xdr:cNvSpPr>
            <a:spLocks/>
          </xdr:cNvSpPr>
        </xdr:nvSpPr>
        <xdr:spPr>
          <a:xfrm>
            <a:off x="1345808" y="752549"/>
            <a:ext cx="1717349" cy="288000"/>
          </a:xfrm>
          <a:prstGeom prst="roundRect">
            <a:avLst/>
          </a:prstGeom>
          <a:solidFill>
            <a:srgbClr val="FFCC99"/>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Zielgruppen des Tools</a:t>
            </a:r>
          </a:p>
        </xdr:txBody>
      </xdr:sp>
      <xdr:sp macro="[0]!Einleitung.scrollToStruktur" textlink="">
        <xdr:nvSpPr>
          <xdr:cNvPr id="12" name="Rechteck: abgerundete Ecken 11">
            <a:extLst>
              <a:ext uri="{FF2B5EF4-FFF2-40B4-BE49-F238E27FC236}">
                <a16:creationId xmlns:a16="http://schemas.microsoft.com/office/drawing/2014/main" id="{00000000-0008-0000-0100-00000C000000}"/>
              </a:ext>
            </a:extLst>
          </xdr:cNvPr>
          <xdr:cNvSpPr>
            <a:spLocks/>
          </xdr:cNvSpPr>
        </xdr:nvSpPr>
        <xdr:spPr>
          <a:xfrm>
            <a:off x="3096276" y="752549"/>
            <a:ext cx="1468931" cy="288000"/>
          </a:xfrm>
          <a:prstGeom prst="roundRect">
            <a:avLst/>
          </a:prstGeom>
          <a:solidFill>
            <a:srgbClr val="FFCC66"/>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Struktur des Tools</a:t>
            </a:r>
          </a:p>
        </xdr:txBody>
      </xdr:sp>
      <xdr:sp macro="[0]!Einleitung.scrollToSystemgrenze" textlink="">
        <xdr:nvSpPr>
          <xdr:cNvPr id="13" name="Rechteck: abgerundete Ecken 12">
            <a:extLst>
              <a:ext uri="{FF2B5EF4-FFF2-40B4-BE49-F238E27FC236}">
                <a16:creationId xmlns:a16="http://schemas.microsoft.com/office/drawing/2014/main" id="{00000000-0008-0000-0100-00000D000000}"/>
              </a:ext>
            </a:extLst>
          </xdr:cNvPr>
          <xdr:cNvSpPr>
            <a:spLocks/>
          </xdr:cNvSpPr>
        </xdr:nvSpPr>
        <xdr:spPr>
          <a:xfrm>
            <a:off x="4598326" y="752549"/>
            <a:ext cx="1853132" cy="288000"/>
          </a:xfrm>
          <a:prstGeom prst="roundRect">
            <a:avLst/>
          </a:prstGeom>
          <a:solidFill>
            <a:srgbClr val="FFCC00"/>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Systemgrenze der Bilanz</a:t>
            </a:r>
          </a:p>
        </xdr:txBody>
      </xdr:sp>
      <xdr:sp macro="[0]!Einleitung.scrollToDatenqualitaet" textlink="">
        <xdr:nvSpPr>
          <xdr:cNvPr id="14" name="Rechteck: abgerundete Ecken 13">
            <a:extLst>
              <a:ext uri="{FF2B5EF4-FFF2-40B4-BE49-F238E27FC236}">
                <a16:creationId xmlns:a16="http://schemas.microsoft.com/office/drawing/2014/main" id="{00000000-0008-0000-0100-00000E000000}"/>
              </a:ext>
            </a:extLst>
          </xdr:cNvPr>
          <xdr:cNvSpPr>
            <a:spLocks/>
          </xdr:cNvSpPr>
        </xdr:nvSpPr>
        <xdr:spPr>
          <a:xfrm>
            <a:off x="6484577" y="752549"/>
            <a:ext cx="1471492" cy="288000"/>
          </a:xfrm>
          <a:prstGeom prst="roundRect">
            <a:avLst/>
          </a:prstGeom>
          <a:solidFill>
            <a:srgbClr val="FF9900"/>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Datenqualität</a:t>
            </a:r>
          </a:p>
        </xdr:txBody>
      </xdr:sp>
      <xdr:sp macro="[0]!Einleitung.scrollToUmweltauswirkungen" textlink="">
        <xdr:nvSpPr>
          <xdr:cNvPr id="15" name="Rechteck: abgerundete Ecken 14">
            <a:extLst>
              <a:ext uri="{FF2B5EF4-FFF2-40B4-BE49-F238E27FC236}">
                <a16:creationId xmlns:a16="http://schemas.microsoft.com/office/drawing/2014/main" id="{00000000-0008-0000-0100-00000F000000}"/>
              </a:ext>
            </a:extLst>
          </xdr:cNvPr>
          <xdr:cNvSpPr>
            <a:spLocks/>
          </xdr:cNvSpPr>
        </xdr:nvSpPr>
        <xdr:spPr>
          <a:xfrm>
            <a:off x="7989188" y="752549"/>
            <a:ext cx="1695611" cy="288000"/>
          </a:xfrm>
          <a:prstGeom prst="roundRect">
            <a:avLst/>
          </a:prstGeom>
          <a:solidFill>
            <a:srgbClr val="FF6600"/>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Umweltauswirkungen</a:t>
            </a:r>
          </a:p>
        </xdr:txBody>
      </xdr:sp>
      <xdr:sp macro="[0]!Einleitung.scrollToBerechnungsprinzip" textlink="">
        <xdr:nvSpPr>
          <xdr:cNvPr id="16" name="Rechteck: abgerundete Ecken 15">
            <a:extLst>
              <a:ext uri="{FF2B5EF4-FFF2-40B4-BE49-F238E27FC236}">
                <a16:creationId xmlns:a16="http://schemas.microsoft.com/office/drawing/2014/main" id="{00000000-0008-0000-0100-000010000000}"/>
              </a:ext>
            </a:extLst>
          </xdr:cNvPr>
          <xdr:cNvSpPr>
            <a:spLocks/>
          </xdr:cNvSpPr>
        </xdr:nvSpPr>
        <xdr:spPr>
          <a:xfrm>
            <a:off x="9717918" y="752549"/>
            <a:ext cx="1595718" cy="288000"/>
          </a:xfrm>
          <a:prstGeom prst="roundRect">
            <a:avLst/>
          </a:prstGeom>
          <a:solidFill>
            <a:srgbClr val="FF5050"/>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Berechnungsprinzip</a:t>
            </a:r>
          </a:p>
        </xdr:txBody>
      </xdr:sp>
      <xdr:sp macro="[0]!Einleitung.scrollToLegende" textlink="">
        <xdr:nvSpPr>
          <xdr:cNvPr id="17" name="Rechteck: abgerundete Ecken 16">
            <a:extLst>
              <a:ext uri="{FF2B5EF4-FFF2-40B4-BE49-F238E27FC236}">
                <a16:creationId xmlns:a16="http://schemas.microsoft.com/office/drawing/2014/main" id="{00000000-0008-0000-0100-000011000000}"/>
              </a:ext>
            </a:extLst>
          </xdr:cNvPr>
          <xdr:cNvSpPr>
            <a:spLocks/>
          </xdr:cNvSpPr>
        </xdr:nvSpPr>
        <xdr:spPr>
          <a:xfrm>
            <a:off x="11346757" y="752549"/>
            <a:ext cx="2085711" cy="288000"/>
          </a:xfrm>
          <a:prstGeom prst="roundRect">
            <a:avLst/>
          </a:prstGeom>
          <a:solidFill>
            <a:srgbClr val="CC6600"/>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Legende / Abkürzungen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15681</xdr:colOff>
      <xdr:row>1</xdr:row>
      <xdr:rowOff>16325</xdr:rowOff>
    </xdr:from>
    <xdr:to>
      <xdr:col>6</xdr:col>
      <xdr:colOff>1410683</xdr:colOff>
      <xdr:row>3</xdr:row>
      <xdr:rowOff>4370</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182369" y="198888"/>
          <a:ext cx="11523252" cy="353170"/>
          <a:chOff x="230256" y="204395"/>
          <a:chExt cx="11257195" cy="357836"/>
        </a:xfrm>
      </xdr:grpSpPr>
      <xdr:sp macro="" textlink="">
        <xdr:nvSpPr>
          <xdr:cNvPr id="11" name="Rechteck: abgerundete Ecken 10">
            <a:hlinkClick xmlns:r="http://schemas.openxmlformats.org/officeDocument/2006/relationships" r:id="rId1"/>
            <a:extLst>
              <a:ext uri="{FF2B5EF4-FFF2-40B4-BE49-F238E27FC236}">
                <a16:creationId xmlns:a16="http://schemas.microsoft.com/office/drawing/2014/main" id="{00000000-0008-0000-0200-00000B000000}"/>
              </a:ext>
            </a:extLst>
          </xdr:cNvPr>
          <xdr:cNvSpPr>
            <a:spLocks/>
          </xdr:cNvSpPr>
        </xdr:nvSpPr>
        <xdr:spPr>
          <a:xfrm>
            <a:off x="6768830" y="204395"/>
            <a:ext cx="144000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12" name="Rechteck: abgerundete Ecken 11">
            <a:hlinkClick xmlns:r="http://schemas.openxmlformats.org/officeDocument/2006/relationships" r:id="rId2"/>
            <a:extLst>
              <a:ext uri="{FF2B5EF4-FFF2-40B4-BE49-F238E27FC236}">
                <a16:creationId xmlns:a16="http://schemas.microsoft.com/office/drawing/2014/main" id="{00000000-0008-0000-0200-00000C000000}"/>
              </a:ext>
            </a:extLst>
          </xdr:cNvPr>
          <xdr:cNvSpPr>
            <a:spLocks/>
          </xdr:cNvSpPr>
        </xdr:nvSpPr>
        <xdr:spPr>
          <a:xfrm>
            <a:off x="4409757" y="204395"/>
            <a:ext cx="234054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13" name="Rechteck: abgerundete Ecken 12">
            <a:hlinkClick xmlns:r="http://schemas.openxmlformats.org/officeDocument/2006/relationships" r:id="rId3"/>
            <a:extLst>
              <a:ext uri="{FF2B5EF4-FFF2-40B4-BE49-F238E27FC236}">
                <a16:creationId xmlns:a16="http://schemas.microsoft.com/office/drawing/2014/main" id="{00000000-0008-0000-0200-00000D000000}"/>
              </a:ext>
            </a:extLst>
          </xdr:cNvPr>
          <xdr:cNvSpPr>
            <a:spLocks/>
          </xdr:cNvSpPr>
        </xdr:nvSpPr>
        <xdr:spPr>
          <a:xfrm>
            <a:off x="1695009" y="204395"/>
            <a:ext cx="2696215" cy="357836"/>
          </a:xfrm>
          <a:prstGeom prst="roundRect">
            <a:avLst/>
          </a:prstGeom>
          <a:solidFill>
            <a:schemeClr val="accent2">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15" name="Rechteck: abgerundete Ecken 14">
            <a:hlinkClick xmlns:r="http://schemas.openxmlformats.org/officeDocument/2006/relationships" r:id="rId4"/>
            <a:extLst>
              <a:ext uri="{FF2B5EF4-FFF2-40B4-BE49-F238E27FC236}">
                <a16:creationId xmlns:a16="http://schemas.microsoft.com/office/drawing/2014/main" id="{00000000-0008-0000-0200-00000F000000}"/>
              </a:ext>
            </a:extLst>
          </xdr:cNvPr>
          <xdr:cNvSpPr>
            <a:spLocks/>
          </xdr:cNvSpPr>
        </xdr:nvSpPr>
        <xdr:spPr>
          <a:xfrm>
            <a:off x="8227363" y="204395"/>
            <a:ext cx="180000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sp macro="" textlink="">
        <xdr:nvSpPr>
          <xdr:cNvPr id="16" name="Rechteck: abgerundete Ecken 15">
            <a:hlinkClick xmlns:r="http://schemas.openxmlformats.org/officeDocument/2006/relationships" r:id="rId5"/>
            <a:extLst>
              <a:ext uri="{FF2B5EF4-FFF2-40B4-BE49-F238E27FC236}">
                <a16:creationId xmlns:a16="http://schemas.microsoft.com/office/drawing/2014/main" id="{00000000-0008-0000-0200-000010000000}"/>
              </a:ext>
            </a:extLst>
          </xdr:cNvPr>
          <xdr:cNvSpPr>
            <a:spLocks/>
          </xdr:cNvSpPr>
        </xdr:nvSpPr>
        <xdr:spPr>
          <a:xfrm>
            <a:off x="230256" y="204395"/>
            <a:ext cx="144622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sp macro="" textlink="">
        <xdr:nvSpPr>
          <xdr:cNvPr id="17" name="Rechteck: abgerundete Ecken 16">
            <a:hlinkClick xmlns:r="http://schemas.openxmlformats.org/officeDocument/2006/relationships" r:id="rId6"/>
            <a:extLst>
              <a:ext uri="{FF2B5EF4-FFF2-40B4-BE49-F238E27FC236}">
                <a16:creationId xmlns:a16="http://schemas.microsoft.com/office/drawing/2014/main" id="{00000000-0008-0000-0200-000011000000}"/>
              </a:ext>
            </a:extLst>
          </xdr:cNvPr>
          <xdr:cNvSpPr>
            <a:spLocks/>
          </xdr:cNvSpPr>
        </xdr:nvSpPr>
        <xdr:spPr>
          <a:xfrm>
            <a:off x="10045896" y="204395"/>
            <a:ext cx="1441555"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grpSp>
    <xdr:clientData/>
  </xdr:twoCellAnchor>
  <xdr:twoCellAnchor>
    <xdr:from>
      <xdr:col>2</xdr:col>
      <xdr:colOff>1282861</xdr:colOff>
      <xdr:row>3</xdr:row>
      <xdr:rowOff>160019</xdr:rowOff>
    </xdr:from>
    <xdr:to>
      <xdr:col>6</xdr:col>
      <xdr:colOff>1242002</xdr:colOff>
      <xdr:row>5</xdr:row>
      <xdr:rowOff>42905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616236" y="707707"/>
          <a:ext cx="9920704" cy="279761"/>
          <a:chOff x="1610810" y="709816"/>
          <a:chExt cx="8186812" cy="288000"/>
        </a:xfrm>
      </xdr:grpSpPr>
      <xdr:sp macro="[0]!Untersuchungsrahmen.scrollToAllgemein_Info" textlink="">
        <xdr:nvSpPr>
          <xdr:cNvPr id="19" name="Rechteck: abgerundete Ecken 18">
            <a:extLst>
              <a:ext uri="{FF2B5EF4-FFF2-40B4-BE49-F238E27FC236}">
                <a16:creationId xmlns:a16="http://schemas.microsoft.com/office/drawing/2014/main" id="{00000000-0008-0000-0200-000013000000}"/>
              </a:ext>
            </a:extLst>
          </xdr:cNvPr>
          <xdr:cNvSpPr>
            <a:spLocks/>
          </xdr:cNvSpPr>
        </xdr:nvSpPr>
        <xdr:spPr>
          <a:xfrm>
            <a:off x="1610810" y="709816"/>
            <a:ext cx="2140773" cy="288000"/>
          </a:xfrm>
          <a:prstGeom prst="roundRect">
            <a:avLst/>
          </a:prstGeom>
          <a:solidFill>
            <a:schemeClr val="accent4">
              <a:lumMod val="20000"/>
              <a:lumOff val="80000"/>
            </a:schemeClr>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Allgemeine Angaben</a:t>
            </a:r>
          </a:p>
        </xdr:txBody>
      </xdr:sp>
      <xdr:sp macro="[0]!Untersuchungsrahmen.scrollToBezugsgroeße" textlink="">
        <xdr:nvSpPr>
          <xdr:cNvPr id="20" name="Rechteck: abgerundete Ecken 19">
            <a:extLst>
              <a:ext uri="{FF2B5EF4-FFF2-40B4-BE49-F238E27FC236}">
                <a16:creationId xmlns:a16="http://schemas.microsoft.com/office/drawing/2014/main" id="{00000000-0008-0000-0200-000014000000}"/>
              </a:ext>
            </a:extLst>
          </xdr:cNvPr>
          <xdr:cNvSpPr>
            <a:spLocks/>
          </xdr:cNvSpPr>
        </xdr:nvSpPr>
        <xdr:spPr>
          <a:xfrm>
            <a:off x="3822122" y="709817"/>
            <a:ext cx="1914073" cy="286747"/>
          </a:xfrm>
          <a:prstGeom prst="roundRect">
            <a:avLst/>
          </a:prstGeom>
          <a:solidFill>
            <a:schemeClr val="accent4">
              <a:lumMod val="40000"/>
              <a:lumOff val="60000"/>
            </a:schemeClr>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Bezugsgröße räumlich</a:t>
            </a:r>
          </a:p>
        </xdr:txBody>
      </xdr:sp>
      <xdr:sp macro="[0]!Untersuchungsrahmen.scrollToBilanzzeitraum" textlink="">
        <xdr:nvSpPr>
          <xdr:cNvPr id="21" name="Rechteck: abgerundete Ecken 20">
            <a:extLst>
              <a:ext uri="{FF2B5EF4-FFF2-40B4-BE49-F238E27FC236}">
                <a16:creationId xmlns:a16="http://schemas.microsoft.com/office/drawing/2014/main" id="{00000000-0008-0000-0200-000015000000}"/>
              </a:ext>
            </a:extLst>
          </xdr:cNvPr>
          <xdr:cNvSpPr>
            <a:spLocks/>
          </xdr:cNvSpPr>
        </xdr:nvSpPr>
        <xdr:spPr>
          <a:xfrm>
            <a:off x="5806732" y="709817"/>
            <a:ext cx="1823439" cy="286747"/>
          </a:xfrm>
          <a:prstGeom prst="roundRect">
            <a:avLst/>
          </a:prstGeom>
          <a:solidFill>
            <a:schemeClr val="accent4">
              <a:lumMod val="60000"/>
              <a:lumOff val="40000"/>
            </a:schemeClr>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Bilanzzeitraum</a:t>
            </a:r>
          </a:p>
        </xdr:txBody>
      </xdr:sp>
      <xdr:sp macro="[0]!Untersuchungsrahmen.scrollToWD_Info" textlink="">
        <xdr:nvSpPr>
          <xdr:cNvPr id="22" name="Rechteck: abgerundete Ecken 21">
            <a:extLst>
              <a:ext uri="{FF2B5EF4-FFF2-40B4-BE49-F238E27FC236}">
                <a16:creationId xmlns:a16="http://schemas.microsoft.com/office/drawing/2014/main" id="{00000000-0008-0000-0200-000016000000}"/>
              </a:ext>
            </a:extLst>
          </xdr:cNvPr>
          <xdr:cNvSpPr>
            <a:spLocks/>
          </xdr:cNvSpPr>
        </xdr:nvSpPr>
        <xdr:spPr>
          <a:xfrm>
            <a:off x="7700709" y="709817"/>
            <a:ext cx="2096913" cy="286747"/>
          </a:xfrm>
          <a:prstGeom prst="roundRect">
            <a:avLst/>
          </a:prstGeom>
          <a:solidFill>
            <a:schemeClr val="accent4">
              <a:lumMod val="75000"/>
            </a:schemeClr>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Angaben zum Winterdienst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518160</xdr:colOff>
      <xdr:row>101</xdr:row>
      <xdr:rowOff>0</xdr:rowOff>
    </xdr:from>
    <xdr:to>
      <xdr:col>4</xdr:col>
      <xdr:colOff>667629</xdr:colOff>
      <xdr:row>102</xdr:row>
      <xdr:rowOff>182880</xdr:rowOff>
    </xdr:to>
    <xdr:sp macro="" textlink="">
      <xdr:nvSpPr>
        <xdr:cNvPr id="12" name="Add_Zeile_KM"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C000000}"/>
            </a:ext>
          </a:extLst>
        </xdr:cNvPr>
        <xdr:cNvSpPr/>
      </xdr:nvSpPr>
      <xdr:spPr bwMode="auto">
        <a:xfrm>
          <a:off x="662940" y="13037820"/>
          <a:ext cx="1074420" cy="259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44</xdr:row>
      <xdr:rowOff>0</xdr:rowOff>
    </xdr:from>
    <xdr:to>
      <xdr:col>4</xdr:col>
      <xdr:colOff>2454872</xdr:colOff>
      <xdr:row>45</xdr:row>
      <xdr:rowOff>55516</xdr:rowOff>
    </xdr:to>
    <xdr:sp macro="" textlink="">
      <xdr:nvSpPr>
        <xdr:cNvPr id="13" name="Know_DirektEMission"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D000000}"/>
            </a:ext>
          </a:extLst>
        </xdr:cNvPr>
        <xdr:cNvSpPr/>
      </xdr:nvSpPr>
      <xdr:spPr bwMode="auto">
        <a:xfrm>
          <a:off x="754380" y="3307080"/>
          <a:ext cx="2858397"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44</xdr:row>
      <xdr:rowOff>0</xdr:rowOff>
    </xdr:from>
    <xdr:to>
      <xdr:col>5</xdr:col>
      <xdr:colOff>1300861</xdr:colOff>
      <xdr:row>46</xdr:row>
      <xdr:rowOff>22858</xdr:rowOff>
    </xdr:to>
    <xdr:sp macro="" textlink="">
      <xdr:nvSpPr>
        <xdr:cNvPr id="14" name="Unknow_DirektEmission"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E000000}"/>
            </a:ext>
          </a:extLst>
        </xdr:cNvPr>
        <xdr:cNvSpPr/>
      </xdr:nvSpPr>
      <xdr:spPr bwMode="auto">
        <a:xfrm>
          <a:off x="754380" y="3863340"/>
          <a:ext cx="6122446"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213360</xdr:colOff>
      <xdr:row>44</xdr:row>
      <xdr:rowOff>0</xdr:rowOff>
    </xdr:from>
    <xdr:to>
      <xdr:col>4</xdr:col>
      <xdr:colOff>882782</xdr:colOff>
      <xdr:row>46</xdr:row>
      <xdr:rowOff>42</xdr:rowOff>
    </xdr:to>
    <xdr:sp macro="" textlink="">
      <xdr:nvSpPr>
        <xdr:cNvPr id="17" name="Add_Zeile_Brennstoff"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11000000}"/>
            </a:ext>
          </a:extLst>
        </xdr:cNvPr>
        <xdr:cNvSpPr/>
      </xdr:nvSpPr>
      <xdr:spPr bwMode="auto">
        <a:xfrm>
          <a:off x="967740" y="7917180"/>
          <a:ext cx="1076213" cy="25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733425</xdr:colOff>
          <xdr:row>29</xdr:row>
          <xdr:rowOff>0</xdr:rowOff>
        </xdr:from>
        <xdr:to>
          <xdr:col>3</xdr:col>
          <xdr:colOff>219075</xdr:colOff>
          <xdr:row>29</xdr:row>
          <xdr:rowOff>0</xdr:rowOff>
        </xdr:to>
        <xdr:sp macro="" textlink="">
          <xdr:nvSpPr>
            <xdr:cNvPr id="7169" name="Add_Zeile_Brennstoff"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2</xdr:col>
      <xdr:colOff>16564</xdr:colOff>
      <xdr:row>1</xdr:row>
      <xdr:rowOff>15601</xdr:rowOff>
    </xdr:from>
    <xdr:to>
      <xdr:col>7</xdr:col>
      <xdr:colOff>1477132</xdr:colOff>
      <xdr:row>3</xdr:row>
      <xdr:rowOff>2377</xdr:rowOff>
    </xdr:to>
    <xdr:grpSp>
      <xdr:nvGrpSpPr>
        <xdr:cNvPr id="2" name="Gruppieren 1">
          <a:extLst>
            <a:ext uri="{FF2B5EF4-FFF2-40B4-BE49-F238E27FC236}">
              <a16:creationId xmlns:a16="http://schemas.microsoft.com/office/drawing/2014/main" id="{00000000-0008-0000-0300-000002000000}"/>
            </a:ext>
          </a:extLst>
        </xdr:cNvPr>
        <xdr:cNvGrpSpPr/>
      </xdr:nvGrpSpPr>
      <xdr:grpSpPr>
        <a:xfrm>
          <a:off x="413439" y="198164"/>
          <a:ext cx="11485631" cy="351901"/>
          <a:chOff x="414129" y="201131"/>
          <a:chExt cx="11270904" cy="357837"/>
        </a:xfrm>
      </xdr:grpSpPr>
      <xdr:sp macro="" textlink="">
        <xdr:nvSpPr>
          <xdr:cNvPr id="23" name="Rechteck: abgerundete Ecken 22">
            <a:hlinkClick xmlns:r="http://schemas.openxmlformats.org/officeDocument/2006/relationships" r:id="rId1"/>
            <a:extLst>
              <a:ext uri="{FF2B5EF4-FFF2-40B4-BE49-F238E27FC236}">
                <a16:creationId xmlns:a16="http://schemas.microsoft.com/office/drawing/2014/main" id="{00000000-0008-0000-0300-000017000000}"/>
              </a:ext>
            </a:extLst>
          </xdr:cNvPr>
          <xdr:cNvSpPr>
            <a:spLocks/>
          </xdr:cNvSpPr>
        </xdr:nvSpPr>
        <xdr:spPr>
          <a:xfrm>
            <a:off x="6962347" y="201131"/>
            <a:ext cx="1440812" cy="35783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24" name="Rechteck: abgerundete Ecken 23">
            <a:hlinkClick xmlns:r="http://schemas.openxmlformats.org/officeDocument/2006/relationships" r:id="rId2"/>
            <a:extLst>
              <a:ext uri="{FF2B5EF4-FFF2-40B4-BE49-F238E27FC236}">
                <a16:creationId xmlns:a16="http://schemas.microsoft.com/office/drawing/2014/main" id="{00000000-0008-0000-0300-000018000000}"/>
              </a:ext>
            </a:extLst>
          </xdr:cNvPr>
          <xdr:cNvSpPr>
            <a:spLocks/>
          </xdr:cNvSpPr>
        </xdr:nvSpPr>
        <xdr:spPr>
          <a:xfrm>
            <a:off x="4602763" y="201131"/>
            <a:ext cx="2340000" cy="357837"/>
          </a:xfrm>
          <a:prstGeom prst="roundRect">
            <a:avLst/>
          </a:prstGeom>
          <a:solidFill>
            <a:srgbClr val="66FFFF"/>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25" name="Rechteck: abgerundete Ecken 24">
            <a:hlinkClick xmlns:r="http://schemas.openxmlformats.org/officeDocument/2006/relationships" r:id="rId3"/>
            <a:extLst>
              <a:ext uri="{FF2B5EF4-FFF2-40B4-BE49-F238E27FC236}">
                <a16:creationId xmlns:a16="http://schemas.microsoft.com/office/drawing/2014/main" id="{00000000-0008-0000-0300-000019000000}"/>
              </a:ext>
            </a:extLst>
          </xdr:cNvPr>
          <xdr:cNvSpPr>
            <a:spLocks/>
          </xdr:cNvSpPr>
        </xdr:nvSpPr>
        <xdr:spPr>
          <a:xfrm>
            <a:off x="1883179" y="201131"/>
            <a:ext cx="2700000" cy="35783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27" name="Rechteck: abgerundete Ecken 26">
            <a:hlinkClick xmlns:r="http://schemas.openxmlformats.org/officeDocument/2006/relationships" r:id="rId4"/>
            <a:extLst>
              <a:ext uri="{FF2B5EF4-FFF2-40B4-BE49-F238E27FC236}">
                <a16:creationId xmlns:a16="http://schemas.microsoft.com/office/drawing/2014/main" id="{00000000-0008-0000-0300-00001B000000}"/>
              </a:ext>
            </a:extLst>
          </xdr:cNvPr>
          <xdr:cNvSpPr>
            <a:spLocks/>
          </xdr:cNvSpPr>
        </xdr:nvSpPr>
        <xdr:spPr>
          <a:xfrm>
            <a:off x="8422743" y="201131"/>
            <a:ext cx="1800812" cy="35783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sp macro="" textlink="">
        <xdr:nvSpPr>
          <xdr:cNvPr id="28" name="Rechteck: abgerundete Ecken 27">
            <a:hlinkClick xmlns:r="http://schemas.openxmlformats.org/officeDocument/2006/relationships" r:id="rId5"/>
            <a:extLst>
              <a:ext uri="{FF2B5EF4-FFF2-40B4-BE49-F238E27FC236}">
                <a16:creationId xmlns:a16="http://schemas.microsoft.com/office/drawing/2014/main" id="{00000000-0008-0000-0300-00001C000000}"/>
              </a:ext>
            </a:extLst>
          </xdr:cNvPr>
          <xdr:cNvSpPr>
            <a:spLocks/>
          </xdr:cNvSpPr>
        </xdr:nvSpPr>
        <xdr:spPr>
          <a:xfrm>
            <a:off x="414129" y="201131"/>
            <a:ext cx="1449466" cy="35783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sp macro="" textlink="">
        <xdr:nvSpPr>
          <xdr:cNvPr id="29" name="Rechteck: abgerundete Ecken 28">
            <a:hlinkClick xmlns:r="http://schemas.openxmlformats.org/officeDocument/2006/relationships" r:id="rId6"/>
            <a:extLst>
              <a:ext uri="{FF2B5EF4-FFF2-40B4-BE49-F238E27FC236}">
                <a16:creationId xmlns:a16="http://schemas.microsoft.com/office/drawing/2014/main" id="{00000000-0008-0000-0300-00001D000000}"/>
              </a:ext>
            </a:extLst>
          </xdr:cNvPr>
          <xdr:cNvSpPr>
            <a:spLocks/>
          </xdr:cNvSpPr>
        </xdr:nvSpPr>
        <xdr:spPr>
          <a:xfrm>
            <a:off x="10243140" y="201131"/>
            <a:ext cx="1441893" cy="357837"/>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grpSp>
    <xdr:clientData/>
  </xdr:twoCellAnchor>
  <xdr:oneCellAnchor>
    <xdr:from>
      <xdr:col>2</xdr:col>
      <xdr:colOff>0</xdr:colOff>
      <xdr:row>13</xdr:row>
      <xdr:rowOff>0</xdr:rowOff>
    </xdr:from>
    <xdr:ext cx="2859486" cy="238398"/>
    <xdr:sp macro="" textlink="">
      <xdr:nvSpPr>
        <xdr:cNvPr id="21" name="Know_DirektEMission"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5000000}"/>
            </a:ext>
          </a:extLst>
        </xdr:cNvPr>
        <xdr:cNvSpPr/>
      </xdr:nvSpPr>
      <xdr:spPr bwMode="auto">
        <a:xfrm>
          <a:off x="754380" y="9730740"/>
          <a:ext cx="2859486" cy="23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13</xdr:row>
      <xdr:rowOff>0</xdr:rowOff>
    </xdr:from>
    <xdr:ext cx="6121358" cy="281940"/>
    <xdr:sp macro="" textlink="">
      <xdr:nvSpPr>
        <xdr:cNvPr id="31" name="Unknow_DirektEmission"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F000000}"/>
            </a:ext>
          </a:extLst>
        </xdr:cNvPr>
        <xdr:cNvSpPr/>
      </xdr:nvSpPr>
      <xdr:spPr bwMode="auto">
        <a:xfrm>
          <a:off x="754380" y="9730740"/>
          <a:ext cx="6121358"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213360</xdr:colOff>
      <xdr:row>13</xdr:row>
      <xdr:rowOff>0</xdr:rowOff>
    </xdr:from>
    <xdr:ext cx="1074036" cy="255495"/>
    <xdr:sp macro="" textlink="">
      <xdr:nvSpPr>
        <xdr:cNvPr id="32" name="Add_Zeile_Brennstoff"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20000000}"/>
            </a:ext>
          </a:extLst>
        </xdr:cNvPr>
        <xdr:cNvSpPr/>
      </xdr:nvSpPr>
      <xdr:spPr bwMode="auto">
        <a:xfrm>
          <a:off x="967740" y="9730740"/>
          <a:ext cx="1074036" cy="25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1</xdr:col>
      <xdr:colOff>168728</xdr:colOff>
      <xdr:row>3</xdr:row>
      <xdr:rowOff>94226</xdr:rowOff>
    </xdr:from>
    <xdr:to>
      <xdr:col>7</xdr:col>
      <xdr:colOff>38933</xdr:colOff>
      <xdr:row>5</xdr:row>
      <xdr:rowOff>14997</xdr:rowOff>
    </xdr:to>
    <xdr:grpSp>
      <xdr:nvGrpSpPr>
        <xdr:cNvPr id="3" name="Gruppieren 2">
          <a:extLst>
            <a:ext uri="{FF2B5EF4-FFF2-40B4-BE49-F238E27FC236}">
              <a16:creationId xmlns:a16="http://schemas.microsoft.com/office/drawing/2014/main" id="{00000000-0008-0000-0300-000003000000}"/>
            </a:ext>
          </a:extLst>
        </xdr:cNvPr>
        <xdr:cNvGrpSpPr/>
      </xdr:nvGrpSpPr>
      <xdr:grpSpPr>
        <a:xfrm>
          <a:off x="311603" y="641914"/>
          <a:ext cx="10149268" cy="285896"/>
          <a:chOff x="311603" y="637151"/>
          <a:chExt cx="9966705" cy="282721"/>
        </a:xfrm>
      </xdr:grpSpPr>
      <xdr:sp macro="[0]!Dateneingabe.scrollToProzesseInMeisterei" textlink="">
        <xdr:nvSpPr>
          <xdr:cNvPr id="8" name="Rechteck: abgerundete Ecken 7">
            <a:extLst>
              <a:ext uri="{FF2B5EF4-FFF2-40B4-BE49-F238E27FC236}">
                <a16:creationId xmlns:a16="http://schemas.microsoft.com/office/drawing/2014/main" id="{00000000-0008-0000-0300-000008000000}"/>
              </a:ext>
            </a:extLst>
          </xdr:cNvPr>
          <xdr:cNvSpPr>
            <a:spLocks/>
          </xdr:cNvSpPr>
        </xdr:nvSpPr>
        <xdr:spPr>
          <a:xfrm>
            <a:off x="2628194" y="637151"/>
            <a:ext cx="2721968" cy="282721"/>
          </a:xfrm>
          <a:prstGeom prst="roundRect">
            <a:avLst/>
          </a:prstGeom>
          <a:solidFill>
            <a:srgbClr val="66CC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2. Prozesse Meisterei / Bauhof</a:t>
            </a:r>
          </a:p>
        </xdr:txBody>
      </xdr:sp>
      <xdr:sp macro="[0]!Dateneingabe.scrollToAusbringungen" textlink="">
        <xdr:nvSpPr>
          <xdr:cNvPr id="9" name="Rechteck: abgerundete Ecken 8">
            <a:extLst>
              <a:ext uri="{FF2B5EF4-FFF2-40B4-BE49-F238E27FC236}">
                <a16:creationId xmlns:a16="http://schemas.microsoft.com/office/drawing/2014/main" id="{00000000-0008-0000-0300-000009000000}"/>
              </a:ext>
            </a:extLst>
          </xdr:cNvPr>
          <xdr:cNvSpPr>
            <a:spLocks/>
          </xdr:cNvSpPr>
        </xdr:nvSpPr>
        <xdr:spPr>
          <a:xfrm>
            <a:off x="5400959" y="637151"/>
            <a:ext cx="2247600" cy="282721"/>
          </a:xfrm>
          <a:prstGeom prst="roundRect">
            <a:avLst/>
          </a:prstGeom>
          <a:solidFill>
            <a:srgbClr val="3399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3.</a:t>
            </a:r>
            <a:r>
              <a:rPr lang="de-DE" sz="1300" baseline="0"/>
              <a:t> </a:t>
            </a:r>
            <a:r>
              <a:rPr lang="de-DE" sz="1300"/>
              <a:t>Ausbringung</a:t>
            </a:r>
          </a:p>
        </xdr:txBody>
      </xdr:sp>
      <xdr:sp macro="" textlink="">
        <xdr:nvSpPr>
          <xdr:cNvPr id="20" name="Rechteck: abgerundete Ecken 19">
            <a:hlinkClick xmlns:r="http://schemas.openxmlformats.org/officeDocument/2006/relationships" r:id="rId7"/>
            <a:extLst>
              <a:ext uri="{FF2B5EF4-FFF2-40B4-BE49-F238E27FC236}">
                <a16:creationId xmlns:a16="http://schemas.microsoft.com/office/drawing/2014/main" id="{00000000-0008-0000-0300-000014000000}"/>
              </a:ext>
            </a:extLst>
          </xdr:cNvPr>
          <xdr:cNvSpPr>
            <a:spLocks/>
          </xdr:cNvSpPr>
        </xdr:nvSpPr>
        <xdr:spPr>
          <a:xfrm>
            <a:off x="311603" y="637151"/>
            <a:ext cx="2265794" cy="282721"/>
          </a:xfrm>
          <a:prstGeom prst="roundRect">
            <a:avLst/>
          </a:prstGeom>
          <a:solidFill>
            <a:srgbClr val="CCFF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1.</a:t>
            </a:r>
            <a:r>
              <a:rPr lang="de-DE" sz="1300" baseline="0"/>
              <a:t> </a:t>
            </a:r>
            <a:r>
              <a:rPr lang="de-DE" sz="1300"/>
              <a:t>Erläuterung Dateneingabe</a:t>
            </a:r>
          </a:p>
        </xdr:txBody>
      </xdr:sp>
      <xdr:sp macro="[0]!Dateneingabe.scrollToProzesseAntransport" textlink="">
        <xdr:nvSpPr>
          <xdr:cNvPr id="19" name="Rechteck: abgerundete Ecken 18">
            <a:extLst>
              <a:ext uri="{FF2B5EF4-FFF2-40B4-BE49-F238E27FC236}">
                <a16:creationId xmlns:a16="http://schemas.microsoft.com/office/drawing/2014/main" id="{00000000-0008-0000-0300-000013000000}"/>
              </a:ext>
            </a:extLst>
          </xdr:cNvPr>
          <xdr:cNvSpPr>
            <a:spLocks/>
          </xdr:cNvSpPr>
        </xdr:nvSpPr>
        <xdr:spPr>
          <a:xfrm>
            <a:off x="7699356" y="637151"/>
            <a:ext cx="2578952" cy="282721"/>
          </a:xfrm>
          <a:prstGeom prst="roundRect">
            <a:avLst/>
          </a:prstGeom>
          <a:solidFill>
            <a:srgbClr val="0066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4. Transporte Streumittel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162379</xdr:colOff>
      <xdr:row>0</xdr:row>
      <xdr:rowOff>198148</xdr:rowOff>
    </xdr:from>
    <xdr:to>
      <xdr:col>3</xdr:col>
      <xdr:colOff>2140667</xdr:colOff>
      <xdr:row>2</xdr:row>
      <xdr:rowOff>38385</xdr:rowOff>
    </xdr:to>
    <xdr:grpSp>
      <xdr:nvGrpSpPr>
        <xdr:cNvPr id="4" name="Gruppieren 3">
          <a:extLst>
            <a:ext uri="{FF2B5EF4-FFF2-40B4-BE49-F238E27FC236}">
              <a16:creationId xmlns:a16="http://schemas.microsoft.com/office/drawing/2014/main" id="{00000000-0008-0000-0400-000004000000}"/>
            </a:ext>
          </a:extLst>
        </xdr:cNvPr>
        <xdr:cNvGrpSpPr/>
      </xdr:nvGrpSpPr>
      <xdr:grpSpPr>
        <a:xfrm>
          <a:off x="352879" y="198148"/>
          <a:ext cx="10995288" cy="379987"/>
          <a:chOff x="348023" y="202413"/>
          <a:chExt cx="11251387" cy="360000"/>
        </a:xfrm>
      </xdr:grpSpPr>
      <xdr:sp macro="" textlink="">
        <xdr:nvSpPr>
          <xdr:cNvPr id="19" name="Rechteck: abgerundete Ecken 18">
            <a:hlinkClick xmlns:r="http://schemas.openxmlformats.org/officeDocument/2006/relationships" r:id="rId1"/>
            <a:extLst>
              <a:ext uri="{FF2B5EF4-FFF2-40B4-BE49-F238E27FC236}">
                <a16:creationId xmlns:a16="http://schemas.microsoft.com/office/drawing/2014/main" id="{00000000-0008-0000-0400-000013000000}"/>
              </a:ext>
            </a:extLst>
          </xdr:cNvPr>
          <xdr:cNvSpPr>
            <a:spLocks/>
          </xdr:cNvSpPr>
        </xdr:nvSpPr>
        <xdr:spPr>
          <a:xfrm>
            <a:off x="6878994" y="202413"/>
            <a:ext cx="1443642" cy="360000"/>
          </a:xfrm>
          <a:prstGeom prst="roundRect">
            <a:avLst/>
          </a:prstGeom>
          <a:solidFill>
            <a:srgbClr val="00B0F0"/>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20" name="Rechteck: abgerundete Ecken 19">
            <a:hlinkClick xmlns:r="http://schemas.openxmlformats.org/officeDocument/2006/relationships" r:id="rId2"/>
            <a:extLst>
              <a:ext uri="{FF2B5EF4-FFF2-40B4-BE49-F238E27FC236}">
                <a16:creationId xmlns:a16="http://schemas.microsoft.com/office/drawing/2014/main" id="{00000000-0008-0000-0400-000014000000}"/>
              </a:ext>
            </a:extLst>
          </xdr:cNvPr>
          <xdr:cNvSpPr>
            <a:spLocks/>
          </xdr:cNvSpPr>
        </xdr:nvSpPr>
        <xdr:spPr>
          <a:xfrm>
            <a:off x="4524249" y="202413"/>
            <a:ext cx="2338599"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21" name="Rechteck: abgerundete Ecken 20">
            <a:hlinkClick xmlns:r="http://schemas.openxmlformats.org/officeDocument/2006/relationships" r:id="rId3"/>
            <a:extLst>
              <a:ext uri="{FF2B5EF4-FFF2-40B4-BE49-F238E27FC236}">
                <a16:creationId xmlns:a16="http://schemas.microsoft.com/office/drawing/2014/main" id="{00000000-0008-0000-0400-000015000000}"/>
              </a:ext>
            </a:extLst>
          </xdr:cNvPr>
          <xdr:cNvSpPr>
            <a:spLocks/>
          </xdr:cNvSpPr>
        </xdr:nvSpPr>
        <xdr:spPr>
          <a:xfrm>
            <a:off x="1804169" y="202413"/>
            <a:ext cx="2703934"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23" name="Rechteck: abgerundete Ecken 22">
            <a:hlinkClick xmlns:r="http://schemas.openxmlformats.org/officeDocument/2006/relationships" r:id="rId4"/>
            <a:extLst>
              <a:ext uri="{FF2B5EF4-FFF2-40B4-BE49-F238E27FC236}">
                <a16:creationId xmlns:a16="http://schemas.microsoft.com/office/drawing/2014/main" id="{00000000-0008-0000-0400-000017000000}"/>
              </a:ext>
            </a:extLst>
          </xdr:cNvPr>
          <xdr:cNvSpPr>
            <a:spLocks/>
          </xdr:cNvSpPr>
        </xdr:nvSpPr>
        <xdr:spPr>
          <a:xfrm>
            <a:off x="8338782" y="202413"/>
            <a:ext cx="180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sp macro="" textlink="">
        <xdr:nvSpPr>
          <xdr:cNvPr id="24" name="Rechteck: abgerundete Ecken 23">
            <a:hlinkClick xmlns:r="http://schemas.openxmlformats.org/officeDocument/2006/relationships" r:id="rId5"/>
            <a:extLst>
              <a:ext uri="{FF2B5EF4-FFF2-40B4-BE49-F238E27FC236}">
                <a16:creationId xmlns:a16="http://schemas.microsoft.com/office/drawing/2014/main" id="{00000000-0008-0000-0400-000018000000}"/>
              </a:ext>
            </a:extLst>
          </xdr:cNvPr>
          <xdr:cNvSpPr>
            <a:spLocks/>
          </xdr:cNvSpPr>
        </xdr:nvSpPr>
        <xdr:spPr>
          <a:xfrm>
            <a:off x="348023" y="202413"/>
            <a:ext cx="144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sp macro="" textlink="">
        <xdr:nvSpPr>
          <xdr:cNvPr id="25" name="Rechteck: abgerundete Ecken 24">
            <a:hlinkClick xmlns:r="http://schemas.openxmlformats.org/officeDocument/2006/relationships" r:id="rId6"/>
            <a:extLst>
              <a:ext uri="{FF2B5EF4-FFF2-40B4-BE49-F238E27FC236}">
                <a16:creationId xmlns:a16="http://schemas.microsoft.com/office/drawing/2014/main" id="{00000000-0008-0000-0400-000019000000}"/>
              </a:ext>
            </a:extLst>
          </xdr:cNvPr>
          <xdr:cNvSpPr>
            <a:spLocks/>
          </xdr:cNvSpPr>
        </xdr:nvSpPr>
        <xdr:spPr>
          <a:xfrm>
            <a:off x="10154928" y="202413"/>
            <a:ext cx="1444482"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grpSp>
    <xdr:clientData/>
  </xdr:twoCellAnchor>
  <xdr:twoCellAnchor editAs="absolute">
    <xdr:from>
      <xdr:col>2</xdr:col>
      <xdr:colOff>3132615</xdr:colOff>
      <xdr:row>2</xdr:row>
      <xdr:rowOff>180099</xdr:rowOff>
    </xdr:from>
    <xdr:to>
      <xdr:col>3</xdr:col>
      <xdr:colOff>2580406</xdr:colOff>
      <xdr:row>3</xdr:row>
      <xdr:rowOff>187346</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3926365" y="719849"/>
          <a:ext cx="7861541" cy="277122"/>
          <a:chOff x="3917384" y="713796"/>
          <a:chExt cx="7658813" cy="288000"/>
        </a:xfrm>
      </xdr:grpSpPr>
      <xdr:sp macro="[0]!Ergebnisse.scrollToGesamtErgebnisse" textlink="">
        <xdr:nvSpPr>
          <xdr:cNvPr id="10" name="Rechteck: abgerundete Ecken 9">
            <a:extLst>
              <a:ext uri="{FF2B5EF4-FFF2-40B4-BE49-F238E27FC236}">
                <a16:creationId xmlns:a16="http://schemas.microsoft.com/office/drawing/2014/main" id="{00000000-0008-0000-0400-00000A000000}"/>
              </a:ext>
            </a:extLst>
          </xdr:cNvPr>
          <xdr:cNvSpPr>
            <a:spLocks/>
          </xdr:cNvSpPr>
        </xdr:nvSpPr>
        <xdr:spPr>
          <a:xfrm>
            <a:off x="3917384" y="713796"/>
            <a:ext cx="1620000" cy="288000"/>
          </a:xfrm>
          <a:prstGeom prst="roundRect">
            <a:avLst/>
          </a:prstGeom>
          <a:solidFill>
            <a:srgbClr val="CCFF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Gesamtergebnis</a:t>
            </a:r>
          </a:p>
        </xdr:txBody>
      </xdr:sp>
      <xdr:sp macro="[0]!Ergebnisse.scrollToBeitrag" textlink="">
        <xdr:nvSpPr>
          <xdr:cNvPr id="11" name="Rechteck: abgerundete Ecken 10">
            <a:extLst>
              <a:ext uri="{FF2B5EF4-FFF2-40B4-BE49-F238E27FC236}">
                <a16:creationId xmlns:a16="http://schemas.microsoft.com/office/drawing/2014/main" id="{00000000-0008-0000-0400-00000B000000}"/>
              </a:ext>
            </a:extLst>
          </xdr:cNvPr>
          <xdr:cNvSpPr>
            <a:spLocks/>
          </xdr:cNvSpPr>
        </xdr:nvSpPr>
        <xdr:spPr>
          <a:xfrm>
            <a:off x="5607838" y="713796"/>
            <a:ext cx="1911785" cy="288000"/>
          </a:xfrm>
          <a:prstGeom prst="roundRect">
            <a:avLst/>
          </a:prstGeom>
          <a:solidFill>
            <a:srgbClr val="66CC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Ergebnisse differenziert</a:t>
            </a:r>
          </a:p>
        </xdr:txBody>
      </xdr:sp>
      <xdr:sp macro="[0]!Ergebnisse.scrollToAbbildung" textlink="">
        <xdr:nvSpPr>
          <xdr:cNvPr id="12" name="Rechteck: abgerundete Ecken 11">
            <a:extLst>
              <a:ext uri="{FF2B5EF4-FFF2-40B4-BE49-F238E27FC236}">
                <a16:creationId xmlns:a16="http://schemas.microsoft.com/office/drawing/2014/main" id="{00000000-0008-0000-0400-00000C000000}"/>
              </a:ext>
            </a:extLst>
          </xdr:cNvPr>
          <xdr:cNvSpPr>
            <a:spLocks/>
          </xdr:cNvSpPr>
        </xdr:nvSpPr>
        <xdr:spPr>
          <a:xfrm>
            <a:off x="7590077" y="713796"/>
            <a:ext cx="1821260" cy="288000"/>
          </a:xfrm>
          <a:prstGeom prst="roundRect">
            <a:avLst/>
          </a:prstGeom>
          <a:solidFill>
            <a:srgbClr val="00FF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Grafik</a:t>
            </a:r>
            <a:r>
              <a:rPr lang="de-DE" sz="1300" baseline="0"/>
              <a:t> </a:t>
            </a:r>
            <a:endParaRPr lang="de-DE" sz="1300"/>
          </a:p>
        </xdr:txBody>
      </xdr:sp>
      <xdr:sp macro="[0]!Ergebnisse.scrollToReport" textlink="">
        <xdr:nvSpPr>
          <xdr:cNvPr id="13" name="Rechteck: abgerundete Ecken 12">
            <a:extLst>
              <a:ext uri="{FF2B5EF4-FFF2-40B4-BE49-F238E27FC236}">
                <a16:creationId xmlns:a16="http://schemas.microsoft.com/office/drawing/2014/main" id="{00000000-0008-0000-0400-00000D000000}"/>
              </a:ext>
            </a:extLst>
          </xdr:cNvPr>
          <xdr:cNvSpPr>
            <a:spLocks/>
          </xdr:cNvSpPr>
        </xdr:nvSpPr>
        <xdr:spPr>
          <a:xfrm>
            <a:off x="9481790" y="713796"/>
            <a:ext cx="2094407" cy="288000"/>
          </a:xfrm>
          <a:prstGeom prst="roundRect">
            <a:avLst/>
          </a:prstGeom>
          <a:solidFill>
            <a:srgbClr val="6699FF"/>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300"/>
              <a:t>Bericht</a:t>
            </a:r>
          </a:p>
        </xdr:txBody>
      </xdr:sp>
    </xdr:grpSp>
    <xdr:clientData/>
  </xdr:twoCellAnchor>
  <mc:AlternateContent xmlns:mc="http://schemas.openxmlformats.org/markup-compatibility/2006">
    <mc:Choice xmlns:a14="http://schemas.microsoft.com/office/drawing/2010/main" Requires="a14">
      <xdr:twoCellAnchor>
        <xdr:from>
          <xdr:col>2</xdr:col>
          <xdr:colOff>152400</xdr:colOff>
          <xdr:row>226</xdr:row>
          <xdr:rowOff>142875</xdr:rowOff>
        </xdr:from>
        <xdr:to>
          <xdr:col>2</xdr:col>
          <xdr:colOff>2466975</xdr:colOff>
          <xdr:row>228</xdr:row>
          <xdr:rowOff>142875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de-DE" sz="1600" b="0" i="0" u="none" strike="noStrike" baseline="0">
                  <a:solidFill>
                    <a:srgbClr val="0000FF"/>
                  </a:solidFill>
                  <a:latin typeface="Calibri"/>
                  <a:cs typeface="Calibri"/>
                </a:rPr>
                <a:t>Speichern als PDF</a:t>
              </a:r>
            </a:p>
          </xdr:txBody>
        </xdr:sp>
        <xdr:clientData fPrintsWithSheet="0"/>
      </xdr:twoCellAnchor>
    </mc:Choice>
    <mc:Fallback/>
  </mc:AlternateContent>
  <xdr:twoCellAnchor>
    <xdr:from>
      <xdr:col>0</xdr:col>
      <xdr:colOff>0</xdr:colOff>
      <xdr:row>586</xdr:row>
      <xdr:rowOff>148589</xdr:rowOff>
    </xdr:from>
    <xdr:to>
      <xdr:col>3481</xdr:col>
      <xdr:colOff>53340</xdr:colOff>
      <xdr:row>4675</xdr:row>
      <xdr:rowOff>176811</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2</xdr:col>
          <xdr:colOff>66675</xdr:colOff>
          <xdr:row>59</xdr:row>
          <xdr:rowOff>114300</xdr:rowOff>
        </xdr:from>
        <xdr:to>
          <xdr:col>2</xdr:col>
          <xdr:colOff>4067175</xdr:colOff>
          <xdr:row>61</xdr:row>
          <xdr:rowOff>152400</xdr:rowOff>
        </xdr:to>
        <xdr:sp macro="" textlink="">
          <xdr:nvSpPr>
            <xdr:cNvPr id="8198" name="Button 6" descr="Abbildung erzeugen"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de-DE" sz="2600" b="0" i="0" u="none" strike="noStrike" baseline="0">
                  <a:solidFill>
                    <a:srgbClr val="0000FF"/>
                  </a:solidFill>
                  <a:latin typeface="Calibri"/>
                  <a:cs typeface="Calibri"/>
                </a:rPr>
                <a:t>Ergbenisse  aktualisieren</a:t>
              </a:r>
            </a:p>
          </xdr:txBody>
        </xdr:sp>
        <xdr:clientData fPrintsWithSheet="0"/>
      </xdr:twoCellAnchor>
    </mc:Choice>
    <mc:Fallback/>
  </mc:AlternateContent>
  <xdr:twoCellAnchor>
    <xdr:from>
      <xdr:col>2</xdr:col>
      <xdr:colOff>333374</xdr:colOff>
      <xdr:row>166</xdr:row>
      <xdr:rowOff>133350</xdr:rowOff>
    </xdr:from>
    <xdr:to>
      <xdr:col>8</xdr:col>
      <xdr:colOff>19050</xdr:colOff>
      <xdr:row>217</xdr:row>
      <xdr:rowOff>209550</xdr:rowOff>
    </xdr:to>
    <xdr:graphicFrame macro="">
      <xdr:nvGraphicFramePr>
        <xdr:cNvPr id="29" name="Ergebnis_Abbildung">
          <a:extLst>
            <a:ext uri="{FF2B5EF4-FFF2-40B4-BE49-F238E27FC236}">
              <a16:creationId xmlns:a16="http://schemas.microsoft.com/office/drawing/2014/main" id="{00000000-0008-0000-04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4171950</xdr:colOff>
      <xdr:row>59</xdr:row>
      <xdr:rowOff>247650</xdr:rowOff>
    </xdr:from>
    <xdr:ext cx="17125950" cy="530658"/>
    <xdr:sp macro="" textlink="">
      <xdr:nvSpPr>
        <xdr:cNvPr id="30" name="Textfeld 29">
          <a:extLst>
            <a:ext uri="{FF2B5EF4-FFF2-40B4-BE49-F238E27FC236}">
              <a16:creationId xmlns:a16="http://schemas.microsoft.com/office/drawing/2014/main" id="{00000000-0008-0000-0400-00001E000000}"/>
            </a:ext>
          </a:extLst>
        </xdr:cNvPr>
        <xdr:cNvSpPr txBox="1"/>
      </xdr:nvSpPr>
      <xdr:spPr>
        <a:xfrm>
          <a:off x="4953000" y="23450550"/>
          <a:ext cx="17125950" cy="530658"/>
        </a:xfrm>
        <a:prstGeom prst="rect">
          <a:avLst/>
        </a:prstGeom>
        <a:noFill/>
        <a:effectLst>
          <a:outerShdw blurRad="50800" dist="38100" dir="5400000" algn="t" rotWithShape="0">
            <a:srgbClr val="0070C0">
              <a:alpha val="40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2800">
              <a:solidFill>
                <a:srgbClr val="002060"/>
              </a:solidFill>
            </a:rPr>
            <a:t>Bitte klicken</a:t>
          </a:r>
          <a:r>
            <a:rPr lang="de-DE" sz="2800" baseline="0">
              <a:solidFill>
                <a:srgbClr val="002060"/>
              </a:solidFill>
            </a:rPr>
            <a:t> auf den Button, um die Ergebnisse zu akutalisieren. Die nicht relevanten Felder werden ausgeblendet.</a:t>
          </a:r>
          <a:endParaRPr lang="de-DE" sz="2800">
            <a:solidFill>
              <a:srgbClr val="00206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2</xdr:col>
      <xdr:colOff>3622154</xdr:colOff>
      <xdr:row>3</xdr:row>
      <xdr:rowOff>154575</xdr:rowOff>
    </xdr:from>
    <xdr:to>
      <xdr:col>7</xdr:col>
      <xdr:colOff>955201</xdr:colOff>
      <xdr:row>5</xdr:row>
      <xdr:rowOff>73161</xdr:rowOff>
    </xdr:to>
    <xdr:grpSp>
      <xdr:nvGrpSpPr>
        <xdr:cNvPr id="3" name="Gruppieren 2">
          <a:extLst>
            <a:ext uri="{FF2B5EF4-FFF2-40B4-BE49-F238E27FC236}">
              <a16:creationId xmlns:a16="http://schemas.microsoft.com/office/drawing/2014/main" id="{00000000-0008-0000-0500-000003000000}"/>
            </a:ext>
          </a:extLst>
        </xdr:cNvPr>
        <xdr:cNvGrpSpPr/>
      </xdr:nvGrpSpPr>
      <xdr:grpSpPr>
        <a:xfrm>
          <a:off x="3948725" y="698861"/>
          <a:ext cx="9207547" cy="281443"/>
          <a:chOff x="3956345" y="714412"/>
          <a:chExt cx="8994525" cy="288000"/>
        </a:xfrm>
      </xdr:grpSpPr>
      <xdr:sp macro="[0]!EF.scrollToStreumittelHerstellung" textlink="">
        <xdr:nvSpPr>
          <xdr:cNvPr id="10" name="Rechteck: abgerundete Ecken 9">
            <a:extLst>
              <a:ext uri="{FF2B5EF4-FFF2-40B4-BE49-F238E27FC236}">
                <a16:creationId xmlns:a16="http://schemas.microsoft.com/office/drawing/2014/main" id="{00000000-0008-0000-0500-00000A000000}"/>
              </a:ext>
            </a:extLst>
          </xdr:cNvPr>
          <xdr:cNvSpPr>
            <a:spLocks/>
          </xdr:cNvSpPr>
        </xdr:nvSpPr>
        <xdr:spPr>
          <a:xfrm>
            <a:off x="3956345" y="714412"/>
            <a:ext cx="1896189" cy="288000"/>
          </a:xfrm>
          <a:prstGeom prst="roundRect">
            <a:avLst/>
          </a:prstGeom>
          <a:solidFill>
            <a:srgbClr val="66FF33"/>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200"/>
              <a:t>Streumittel: Herstellung</a:t>
            </a:r>
          </a:p>
        </xdr:txBody>
      </xdr:sp>
      <xdr:sp macro="[0]!EF.scrollToStreumittelTransport" textlink="">
        <xdr:nvSpPr>
          <xdr:cNvPr id="11" name="Rechteck: abgerundete Ecken 10">
            <a:extLst>
              <a:ext uri="{FF2B5EF4-FFF2-40B4-BE49-F238E27FC236}">
                <a16:creationId xmlns:a16="http://schemas.microsoft.com/office/drawing/2014/main" id="{00000000-0008-0000-0500-00000B000000}"/>
              </a:ext>
            </a:extLst>
          </xdr:cNvPr>
          <xdr:cNvSpPr>
            <a:spLocks/>
          </xdr:cNvSpPr>
        </xdr:nvSpPr>
        <xdr:spPr>
          <a:xfrm>
            <a:off x="5919922" y="714412"/>
            <a:ext cx="1737552" cy="288000"/>
          </a:xfrm>
          <a:prstGeom prst="roundRect">
            <a:avLst/>
          </a:prstGeom>
          <a:solidFill>
            <a:srgbClr val="66FF33"/>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200"/>
              <a:t>Streumittel:</a:t>
            </a:r>
            <a:r>
              <a:rPr lang="de-DE" sz="1200" baseline="0"/>
              <a:t> Transport</a:t>
            </a:r>
            <a:endParaRPr lang="de-DE" sz="1200"/>
          </a:p>
        </xdr:txBody>
      </xdr:sp>
      <xdr:sp macro="[0]!EF.scrollToEnergie" textlink="">
        <xdr:nvSpPr>
          <xdr:cNvPr id="12" name="Rechteck: abgerundete Ecken 11">
            <a:extLst>
              <a:ext uri="{FF2B5EF4-FFF2-40B4-BE49-F238E27FC236}">
                <a16:creationId xmlns:a16="http://schemas.microsoft.com/office/drawing/2014/main" id="{00000000-0008-0000-0500-00000C000000}"/>
              </a:ext>
            </a:extLst>
          </xdr:cNvPr>
          <xdr:cNvSpPr>
            <a:spLocks/>
          </xdr:cNvSpPr>
        </xdr:nvSpPr>
        <xdr:spPr>
          <a:xfrm>
            <a:off x="9055132" y="714412"/>
            <a:ext cx="1239767" cy="288000"/>
          </a:xfrm>
          <a:prstGeom prst="roundRect">
            <a:avLst/>
          </a:prstGeom>
          <a:solidFill>
            <a:srgbClr val="CCFF66"/>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200"/>
              <a:t>Energie</a:t>
            </a:r>
          </a:p>
        </xdr:txBody>
      </xdr:sp>
      <xdr:sp macro="[0]!EF.scrollToKraftstoffe" textlink="">
        <xdr:nvSpPr>
          <xdr:cNvPr id="13" name="Rechteck: abgerundete Ecken 12">
            <a:extLst>
              <a:ext uri="{FF2B5EF4-FFF2-40B4-BE49-F238E27FC236}">
                <a16:creationId xmlns:a16="http://schemas.microsoft.com/office/drawing/2014/main" id="{00000000-0008-0000-0500-00000D000000}"/>
              </a:ext>
            </a:extLst>
          </xdr:cNvPr>
          <xdr:cNvSpPr>
            <a:spLocks/>
          </xdr:cNvSpPr>
        </xdr:nvSpPr>
        <xdr:spPr>
          <a:xfrm>
            <a:off x="7724862" y="714412"/>
            <a:ext cx="1262882" cy="288000"/>
          </a:xfrm>
          <a:prstGeom prst="roundRect">
            <a:avLst/>
          </a:prstGeom>
          <a:solidFill>
            <a:srgbClr val="CCFF99"/>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200"/>
              <a:t>Kraftstoffe</a:t>
            </a:r>
          </a:p>
        </xdr:txBody>
      </xdr:sp>
      <xdr:sp macro="[0]!EF.scrollToWasser" textlink="">
        <xdr:nvSpPr>
          <xdr:cNvPr id="16" name="Rechteck: abgerundete Ecken 15">
            <a:extLst>
              <a:ext uri="{FF2B5EF4-FFF2-40B4-BE49-F238E27FC236}">
                <a16:creationId xmlns:a16="http://schemas.microsoft.com/office/drawing/2014/main" id="{00000000-0008-0000-0500-000010000000}"/>
              </a:ext>
            </a:extLst>
          </xdr:cNvPr>
          <xdr:cNvSpPr>
            <a:spLocks/>
          </xdr:cNvSpPr>
        </xdr:nvSpPr>
        <xdr:spPr>
          <a:xfrm>
            <a:off x="10362287" y="714412"/>
            <a:ext cx="1301343" cy="288000"/>
          </a:xfrm>
          <a:prstGeom prst="roundRect">
            <a:avLst/>
          </a:prstGeom>
          <a:solidFill>
            <a:srgbClr val="CCFFCC"/>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de-DE" sz="1200">
                <a:solidFill>
                  <a:schemeClr val="dk1"/>
                </a:solidFill>
                <a:latin typeface="+mn-lt"/>
                <a:ea typeface="+mn-ea"/>
                <a:cs typeface="+mn-cs"/>
              </a:rPr>
              <a:t>Wasser/Öl/Diesel</a:t>
            </a:r>
          </a:p>
        </xdr:txBody>
      </xdr:sp>
      <xdr:sp macro="[0]!EF.scrollToSonstig" textlink="">
        <xdr:nvSpPr>
          <xdr:cNvPr id="14" name="Rechteck: abgerundete Ecken 13">
            <a:extLst>
              <a:ext uri="{FF2B5EF4-FFF2-40B4-BE49-F238E27FC236}">
                <a16:creationId xmlns:a16="http://schemas.microsoft.com/office/drawing/2014/main" id="{00000000-0008-0000-0500-00000E000000}"/>
              </a:ext>
            </a:extLst>
          </xdr:cNvPr>
          <xdr:cNvSpPr>
            <a:spLocks/>
          </xdr:cNvSpPr>
        </xdr:nvSpPr>
        <xdr:spPr>
          <a:xfrm>
            <a:off x="11731020" y="714412"/>
            <a:ext cx="1219850" cy="288000"/>
          </a:xfrm>
          <a:prstGeom prst="roundRect">
            <a:avLst/>
          </a:prstGeom>
          <a:solidFill>
            <a:srgbClr val="66FF99"/>
          </a:solidFill>
          <a:ln w="28575"/>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r>
              <a:rPr lang="de-DE" sz="1200">
                <a:solidFill>
                  <a:schemeClr val="dk1"/>
                </a:solidFill>
                <a:latin typeface="+mn-lt"/>
                <a:ea typeface="+mn-ea"/>
                <a:cs typeface="+mn-cs"/>
              </a:rPr>
              <a:t>Sonstige</a:t>
            </a:r>
          </a:p>
        </xdr:txBody>
      </xdr:sp>
    </xdr:grpSp>
    <xdr:clientData/>
  </xdr:twoCellAnchor>
  <xdr:twoCellAnchor editAs="absolute">
    <xdr:from>
      <xdr:col>2</xdr:col>
      <xdr:colOff>35432</xdr:colOff>
      <xdr:row>1</xdr:row>
      <xdr:rowOff>34471</xdr:rowOff>
    </xdr:from>
    <xdr:to>
      <xdr:col>6</xdr:col>
      <xdr:colOff>1908722</xdr:colOff>
      <xdr:row>3</xdr:row>
      <xdr:rowOff>3466</xdr:rowOff>
    </xdr:to>
    <xdr:grpSp>
      <xdr:nvGrpSpPr>
        <xdr:cNvPr id="2" name="Gruppieren 1">
          <a:extLst>
            <a:ext uri="{FF2B5EF4-FFF2-40B4-BE49-F238E27FC236}">
              <a16:creationId xmlns:a16="http://schemas.microsoft.com/office/drawing/2014/main" id="{00000000-0008-0000-0500-000002000000}"/>
            </a:ext>
          </a:extLst>
        </xdr:cNvPr>
        <xdr:cNvGrpSpPr/>
      </xdr:nvGrpSpPr>
      <xdr:grpSpPr>
        <a:xfrm>
          <a:off x="362003" y="215900"/>
          <a:ext cx="11398290" cy="331852"/>
          <a:chOff x="348033" y="213463"/>
          <a:chExt cx="11234798" cy="360000"/>
        </a:xfrm>
      </xdr:grpSpPr>
      <xdr:sp macro="" textlink="">
        <xdr:nvSpPr>
          <xdr:cNvPr id="34" name="Rechteck: abgerundete Ecken 33">
            <a:hlinkClick xmlns:r="http://schemas.openxmlformats.org/officeDocument/2006/relationships" r:id="rId1"/>
            <a:extLst>
              <a:ext uri="{FF2B5EF4-FFF2-40B4-BE49-F238E27FC236}">
                <a16:creationId xmlns:a16="http://schemas.microsoft.com/office/drawing/2014/main" id="{00000000-0008-0000-0500-000022000000}"/>
              </a:ext>
            </a:extLst>
          </xdr:cNvPr>
          <xdr:cNvSpPr>
            <a:spLocks/>
          </xdr:cNvSpPr>
        </xdr:nvSpPr>
        <xdr:spPr>
          <a:xfrm>
            <a:off x="6872913" y="213463"/>
            <a:ext cx="144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35" name="Rechteck: abgerundete Ecken 34">
            <a:hlinkClick xmlns:r="http://schemas.openxmlformats.org/officeDocument/2006/relationships" r:id="rId2"/>
            <a:extLst>
              <a:ext uri="{FF2B5EF4-FFF2-40B4-BE49-F238E27FC236}">
                <a16:creationId xmlns:a16="http://schemas.microsoft.com/office/drawing/2014/main" id="{00000000-0008-0000-0500-000023000000}"/>
              </a:ext>
            </a:extLst>
          </xdr:cNvPr>
          <xdr:cNvSpPr>
            <a:spLocks/>
          </xdr:cNvSpPr>
        </xdr:nvSpPr>
        <xdr:spPr>
          <a:xfrm>
            <a:off x="4517953" y="213463"/>
            <a:ext cx="234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36" name="Rechteck: abgerundete Ecken 35">
            <a:hlinkClick xmlns:r="http://schemas.openxmlformats.org/officeDocument/2006/relationships" r:id="rId3"/>
            <a:extLst>
              <a:ext uri="{FF2B5EF4-FFF2-40B4-BE49-F238E27FC236}">
                <a16:creationId xmlns:a16="http://schemas.microsoft.com/office/drawing/2014/main" id="{00000000-0008-0000-0500-000024000000}"/>
              </a:ext>
            </a:extLst>
          </xdr:cNvPr>
          <xdr:cNvSpPr>
            <a:spLocks/>
          </xdr:cNvSpPr>
        </xdr:nvSpPr>
        <xdr:spPr>
          <a:xfrm>
            <a:off x="1802993" y="213463"/>
            <a:ext cx="270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39" name="Rechteck: abgerundete Ecken 38">
            <a:hlinkClick xmlns:r="http://schemas.openxmlformats.org/officeDocument/2006/relationships" r:id="rId4"/>
            <a:extLst>
              <a:ext uri="{FF2B5EF4-FFF2-40B4-BE49-F238E27FC236}">
                <a16:creationId xmlns:a16="http://schemas.microsoft.com/office/drawing/2014/main" id="{00000000-0008-0000-0500-000027000000}"/>
              </a:ext>
            </a:extLst>
          </xdr:cNvPr>
          <xdr:cNvSpPr>
            <a:spLocks/>
          </xdr:cNvSpPr>
        </xdr:nvSpPr>
        <xdr:spPr>
          <a:xfrm>
            <a:off x="348033" y="213463"/>
            <a:ext cx="144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sp macro="" textlink="">
        <xdr:nvSpPr>
          <xdr:cNvPr id="40" name="Rechteck: abgerundete Ecken 39">
            <a:hlinkClick xmlns:r="http://schemas.openxmlformats.org/officeDocument/2006/relationships" r:id="rId5"/>
            <a:extLst>
              <a:ext uri="{FF2B5EF4-FFF2-40B4-BE49-F238E27FC236}">
                <a16:creationId xmlns:a16="http://schemas.microsoft.com/office/drawing/2014/main" id="{00000000-0008-0000-0500-000028000000}"/>
              </a:ext>
            </a:extLst>
          </xdr:cNvPr>
          <xdr:cNvSpPr>
            <a:spLocks/>
          </xdr:cNvSpPr>
        </xdr:nvSpPr>
        <xdr:spPr>
          <a:xfrm>
            <a:off x="10142831" y="213463"/>
            <a:ext cx="1440000" cy="360000"/>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sp macro="" textlink="">
        <xdr:nvSpPr>
          <xdr:cNvPr id="15" name="Rechteck: abgerundete Ecken 14">
            <a:hlinkClick xmlns:r="http://schemas.openxmlformats.org/officeDocument/2006/relationships" r:id="rId6"/>
            <a:extLst>
              <a:ext uri="{FF2B5EF4-FFF2-40B4-BE49-F238E27FC236}">
                <a16:creationId xmlns:a16="http://schemas.microsoft.com/office/drawing/2014/main" id="{00000000-0008-0000-0500-00000F000000}"/>
              </a:ext>
            </a:extLst>
          </xdr:cNvPr>
          <xdr:cNvSpPr>
            <a:spLocks/>
          </xdr:cNvSpPr>
        </xdr:nvSpPr>
        <xdr:spPr>
          <a:xfrm>
            <a:off x="8327873" y="213463"/>
            <a:ext cx="1800000" cy="360000"/>
          </a:xfrm>
          <a:prstGeom prst="roundRect">
            <a:avLst/>
          </a:prstGeom>
          <a:solidFill>
            <a:srgbClr val="92D050"/>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235598</xdr:colOff>
      <xdr:row>1</xdr:row>
      <xdr:rowOff>18823</xdr:rowOff>
    </xdr:from>
    <xdr:to>
      <xdr:col>3</xdr:col>
      <xdr:colOff>1833628</xdr:colOff>
      <xdr:row>3</xdr:row>
      <xdr:rowOff>6681</xdr:rowOff>
    </xdr:to>
    <xdr:grpSp>
      <xdr:nvGrpSpPr>
        <xdr:cNvPr id="2" name="Gruppieren 1">
          <a:extLst>
            <a:ext uri="{FF2B5EF4-FFF2-40B4-BE49-F238E27FC236}">
              <a16:creationId xmlns:a16="http://schemas.microsoft.com/office/drawing/2014/main" id="{00000000-0008-0000-0600-000002000000}"/>
            </a:ext>
          </a:extLst>
        </xdr:cNvPr>
        <xdr:cNvGrpSpPr/>
      </xdr:nvGrpSpPr>
      <xdr:grpSpPr>
        <a:xfrm>
          <a:off x="402286" y="201386"/>
          <a:ext cx="11432592" cy="352983"/>
          <a:chOff x="331676" y="204353"/>
          <a:chExt cx="11249754" cy="358919"/>
        </a:xfrm>
      </xdr:grpSpPr>
      <xdr:sp macro="" textlink="">
        <xdr:nvSpPr>
          <xdr:cNvPr id="9" name="Rechteck: abgerundete Ecken 8">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xdr:cNvSpPr>
        </xdr:nvSpPr>
        <xdr:spPr>
          <a:xfrm>
            <a:off x="10141430" y="205436"/>
            <a:ext cx="1440000" cy="357836"/>
          </a:xfrm>
          <a:prstGeom prst="roundRect">
            <a:avLst/>
          </a:prstGeom>
          <a:solidFill>
            <a:srgbClr val="9999FF"/>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Quellen</a:t>
            </a:r>
          </a:p>
        </xdr:txBody>
      </xdr:sp>
      <xdr:sp macro="" textlink="">
        <xdr:nvSpPr>
          <xdr:cNvPr id="11" name="Rechteck: abgerundete Ecken 10">
            <a:hlinkClick xmlns:r="http://schemas.openxmlformats.org/officeDocument/2006/relationships" r:id="rId2"/>
            <a:extLst>
              <a:ext uri="{FF2B5EF4-FFF2-40B4-BE49-F238E27FC236}">
                <a16:creationId xmlns:a16="http://schemas.microsoft.com/office/drawing/2014/main" id="{00000000-0008-0000-0600-00000B000000}"/>
              </a:ext>
            </a:extLst>
          </xdr:cNvPr>
          <xdr:cNvSpPr>
            <a:spLocks/>
          </xdr:cNvSpPr>
        </xdr:nvSpPr>
        <xdr:spPr>
          <a:xfrm>
            <a:off x="6866705" y="205436"/>
            <a:ext cx="144000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Ergebnisse</a:t>
            </a:r>
          </a:p>
        </xdr:txBody>
      </xdr:sp>
      <xdr:sp macro="" textlink="">
        <xdr:nvSpPr>
          <xdr:cNvPr id="12" name="Rechteck: abgerundete Ecken 11">
            <a:hlinkClick xmlns:r="http://schemas.openxmlformats.org/officeDocument/2006/relationships" r:id="rId3"/>
            <a:extLst>
              <a:ext uri="{FF2B5EF4-FFF2-40B4-BE49-F238E27FC236}">
                <a16:creationId xmlns:a16="http://schemas.microsoft.com/office/drawing/2014/main" id="{00000000-0008-0000-0600-00000C000000}"/>
              </a:ext>
            </a:extLst>
          </xdr:cNvPr>
          <xdr:cNvSpPr>
            <a:spLocks/>
          </xdr:cNvSpPr>
        </xdr:nvSpPr>
        <xdr:spPr>
          <a:xfrm>
            <a:off x="4508362" y="205436"/>
            <a:ext cx="234000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Eingabe spezifische Daten</a:t>
            </a:r>
          </a:p>
        </xdr:txBody>
      </xdr:sp>
      <xdr:sp macro="" textlink="">
        <xdr:nvSpPr>
          <xdr:cNvPr id="13" name="Rechteck: abgerundete Ecken 12">
            <a:hlinkClick xmlns:r="http://schemas.openxmlformats.org/officeDocument/2006/relationships" r:id="rId4"/>
            <a:extLst>
              <a:ext uri="{FF2B5EF4-FFF2-40B4-BE49-F238E27FC236}">
                <a16:creationId xmlns:a16="http://schemas.microsoft.com/office/drawing/2014/main" id="{00000000-0008-0000-0600-00000D000000}"/>
              </a:ext>
            </a:extLst>
          </xdr:cNvPr>
          <xdr:cNvSpPr>
            <a:spLocks/>
          </xdr:cNvSpPr>
        </xdr:nvSpPr>
        <xdr:spPr>
          <a:xfrm>
            <a:off x="1790019" y="205436"/>
            <a:ext cx="2700000"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effectLst/>
                <a:latin typeface="+mn-lt"/>
                <a:ea typeface="+mn-ea"/>
                <a:cs typeface="+mn-cs"/>
              </a:rPr>
              <a:t>Eingabe Untersuchungsrahmen</a:t>
            </a:r>
            <a:endParaRPr lang="de-DE" sz="1400">
              <a:solidFill>
                <a:schemeClr val="dk1"/>
              </a:solidFill>
              <a:latin typeface="+mn-lt"/>
              <a:ea typeface="+mn-ea"/>
              <a:cs typeface="+mn-cs"/>
            </a:endParaRPr>
          </a:p>
        </xdr:txBody>
      </xdr:sp>
      <xdr:sp macro="" textlink="">
        <xdr:nvSpPr>
          <xdr:cNvPr id="15" name="Rechteck: abgerundete Ecken 14">
            <a:hlinkClick xmlns:r="http://schemas.openxmlformats.org/officeDocument/2006/relationships" r:id="rId5"/>
            <a:extLst>
              <a:ext uri="{FF2B5EF4-FFF2-40B4-BE49-F238E27FC236}">
                <a16:creationId xmlns:a16="http://schemas.microsoft.com/office/drawing/2014/main" id="{00000000-0008-0000-0600-00000F000000}"/>
              </a:ext>
            </a:extLst>
          </xdr:cNvPr>
          <xdr:cNvSpPr>
            <a:spLocks/>
          </xdr:cNvSpPr>
        </xdr:nvSpPr>
        <xdr:spPr>
          <a:xfrm>
            <a:off x="8325048" y="205436"/>
            <a:ext cx="1798039" cy="357836"/>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Emissionsfaktoren</a:t>
            </a:r>
          </a:p>
        </xdr:txBody>
      </xdr:sp>
      <xdr:sp macro="" textlink="">
        <xdr:nvSpPr>
          <xdr:cNvPr id="16" name="Rechteck: abgerundete Ecken 15">
            <a:hlinkClick xmlns:r="http://schemas.openxmlformats.org/officeDocument/2006/relationships" r:id="rId6"/>
            <a:extLst>
              <a:ext uri="{FF2B5EF4-FFF2-40B4-BE49-F238E27FC236}">
                <a16:creationId xmlns:a16="http://schemas.microsoft.com/office/drawing/2014/main" id="{00000000-0008-0000-0600-000010000000}"/>
              </a:ext>
            </a:extLst>
          </xdr:cNvPr>
          <xdr:cNvSpPr>
            <a:spLocks/>
          </xdr:cNvSpPr>
        </xdr:nvSpPr>
        <xdr:spPr>
          <a:xfrm>
            <a:off x="331676" y="204353"/>
            <a:ext cx="1440000" cy="358919"/>
          </a:xfrm>
          <a:prstGeom prst="roundRect">
            <a:avLst/>
          </a:prstGeom>
          <a:solidFill>
            <a:schemeClr val="accent4">
              <a:lumMod val="60000"/>
              <a:lumOff val="40000"/>
            </a:schemeClr>
          </a:solidFill>
          <a:ln w="12700">
            <a:solidFill>
              <a:srgbClr val="7030A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de-DE" sz="1400">
                <a:solidFill>
                  <a:schemeClr val="dk1"/>
                </a:solidFill>
                <a:latin typeface="+mn-lt"/>
                <a:ea typeface="+mn-ea"/>
                <a:cs typeface="+mn-cs"/>
              </a:rPr>
              <a:t>Einleitung</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60F29-9B5D-4E6B-AFD8-35755BC24495}" name="Streuflaeche" displayName="Streuflaeche" ref="C28:G33" totalsRowCount="1" headerRowDxfId="352" dataDxfId="350" totalsRowDxfId="348" headerRowBorderDxfId="351" tableBorderDxfId="349" totalsRowBorderDxfId="347">
  <autoFilter ref="C28:G32" xr:uid="{EC060F29-9B5D-4E6B-AFD8-35755BC24495}">
    <filterColumn colId="0" hiddenButton="1"/>
    <filterColumn colId="1" hiddenButton="1"/>
    <filterColumn colId="2" hiddenButton="1"/>
    <filterColumn colId="3" hiddenButton="1"/>
    <filterColumn colId="4" hiddenButton="1"/>
  </autoFilter>
  <tableColumns count="5">
    <tableColumn id="1" xr3:uid="{C2E5088B-0F68-48A8-B466-45E30A340D44}" name="Straßenklasse " totalsRowLabel="Summe" dataDxfId="346" totalsRowDxfId="345"/>
    <tableColumn id="2" xr3:uid="{5596E260-B27F-4146-BD9E-48F1FF1FC8DC}" name="Streufläche SF [m²] " dataDxfId="344" totalsRowDxfId="343"/>
    <tableColumn id="3" xr3:uid="{1FF49D66-D110-405D-A42B-F73D1AB93CDC}" name="Auswahl des Betreuungsfaktors" dataDxfId="342" totalsRowDxfId="341"/>
    <tableColumn id="4" xr3:uid="{F504A607-2C86-44A3-BFE6-D5A28680EA73}" name="Betreuungsfaktor " dataDxfId="340" totalsRowDxfId="339"/>
    <tableColumn id="5" xr3:uid="{70D11824-CC1A-412C-9156-AC9EC30E21D5}" name="Bewertete Streufläche bSF  [m²] " totalsRowFunction="sum" dataDxfId="338" totalsRowDxfId="337">
      <calculatedColumnFormula>D29*F29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E7EF7D4-D0E9-455B-912C-610764FDD5B4}" name="Eingabe_Ausbringungen" displayName="Eingabe_Ausbringungen" ref="E87:I98" headerRowDxfId="326" dataDxfId="324" totalsRowDxfId="322" headerRowBorderDxfId="325" tableBorderDxfId="323" totalsRowBorderDxfId="321">
  <tableColumns count="5">
    <tableColumn id="5" xr3:uid="{D67DD562-E49D-436A-BE0E-D97F0E346285}" name="Angaben zu den Fahrzeugen (Lkw: zulässiges Gesamtgewicht, Euro Norm, Kraftstoff)" totalsRowLabel="Summe" dataDxfId="320" totalsRowDxfId="319"/>
    <tableColumn id="2" xr3:uid="{6F9714F3-FC5E-4ABF-8DE0-8BE3FC938733}" name="Verbrauch Kraftstoffe" dataDxfId="318" totalsRowDxfId="317"/>
    <tableColumn id="3" xr3:uid="{76EE8386-18F4-4965-8EA8-7C43523EB0C2}" name="Einheit " dataDxfId="316" totalsRowDxfId="315">
      <calculatedColumnFormula>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calculatedColumnFormula>
    </tableColumn>
    <tableColumn id="4" xr3:uid="{1D0A1C95-6034-45C9-8489-1FEF453B47F3}" name="Datenqualität" dataDxfId="314" totalsRowDxfId="313"/>
    <tableColumn id="1" xr3:uid="{61A22E45-6F54-4B6D-8893-5A7C45B57855}" name="Anmerkung" dataDxfId="312" totalsRowDxfId="3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4DA1FE7-A9DB-49F7-8289-7C71EA685833}" name="Eingabe_Meisterei_Intern_Prozess_Inventar" displayName="Eingabe_Meisterei_Intern_Prozess_Inventar" ref="E22:I28" headerRowDxfId="310" dataDxfId="308" totalsRowDxfId="306" headerRowBorderDxfId="309" tableBorderDxfId="307">
  <autoFilter ref="E22:I28" xr:uid="{84DA1FE7-A9DB-49F7-8289-7C71EA685833}">
    <filterColumn colId="0" hiddenButton="1"/>
    <filterColumn colId="1" hiddenButton="1"/>
    <filterColumn colId="2" hiddenButton="1"/>
    <filterColumn colId="3" hiddenButton="1"/>
    <filterColumn colId="4" hiddenButton="1"/>
  </autoFilter>
  <tableColumns count="5">
    <tableColumn id="1" xr3:uid="{651E569E-99AB-45A1-B5A0-F610E49666FE}" name="Aufwand innerhalb der Meisterei/des Bauhofes" totalsRowLabel="Summe " dataDxfId="305" totalsRowDxfId="304"/>
    <tableColumn id="2" xr3:uid="{0993EF90-2771-4F31-9ED9-337B0090EA98}" name="Verbrauch" totalsRowFunction="sum" dataDxfId="303" totalsRowDxfId="302"/>
    <tableColumn id="3" xr3:uid="{111F1088-83B0-426E-A0A0-CD74F89B022C}" name="Einheit " totalsRowFunction="sum" dataDxfId="301" totalsRowDxfId="300"/>
    <tableColumn id="5" xr3:uid="{A8059CCB-F55C-4190-B76A-8005B35F3800}" name="Datenqualität" dataDxfId="299"/>
    <tableColumn id="4" xr3:uid="{CD5E04D3-2EC3-4042-A110-DF4198844AD8}" name="Anmerkung" dataDxfId="2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002AB9A-96D3-46BD-A478-E2E01119BB59}" name="Eingabe_Eigene_Stromerzeugung" displayName="Eingabe_Eigene_Stromerzeugung" ref="E32:I33" headerRowDxfId="297" dataDxfId="296" totalsRowDxfId="294" tableBorderDxfId="295">
  <autoFilter ref="E32:I33" xr:uid="{A002AB9A-96D3-46BD-A478-E2E01119BB59}">
    <filterColumn colId="0" hiddenButton="1"/>
    <filterColumn colId="1" hiddenButton="1"/>
    <filterColumn colId="2" hiddenButton="1"/>
    <filterColumn colId="3" hiddenButton="1"/>
    <filterColumn colId="4" hiddenButton="1"/>
  </autoFilter>
  <tableColumns count="5">
    <tableColumn id="1" xr3:uid="{80F9A16E-C3EF-4411-845D-E9629817BD8D}" name="Strom aus Eigenerzeugung" totalsRowLabel="Ergebnis" dataDxfId="293"/>
    <tableColumn id="2" xr3:uid="{6025FB9C-9382-467D-BF17-E643E3FB1B86}" name="Verbrauch" dataDxfId="292" totalsRowDxfId="291"/>
    <tableColumn id="3" xr3:uid="{3A820711-2B0D-4581-8B8B-3AB56C873D0B}" name="Einheit " dataDxfId="290" totalsRowDxfId="289">
      <calculatedColumnFormula>"Eigenverbrauch Endenergie in kWh / "&amp;Streuflaeche[[#Totals],[Bewertete Streufläche bSF  '[m²'] ]]&amp;" m² bewertete Streufläche"</calculatedColumnFormula>
    </tableColumn>
    <tableColumn id="7" xr3:uid="{61666EEF-8157-457B-A537-BB5D30438826}" name="Datenqualität" totalsRowFunction="count" dataDxfId="288" totalsRowDxfId="287"/>
    <tableColumn id="10" xr3:uid="{A7E2279C-03C3-4474-8CED-D2EFFE23FB87}" name="Anmerkung" dataDxfId="286" totalsRowDxfId="28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C53876-AC58-4D67-B4EE-00E50F222BE3}" name="Eingabe_Eigene_Waermebereitstellung" displayName="Eingabe_Eigene_Waermebereitstellung" ref="E37:I43" headerRowDxfId="284" dataDxfId="282" totalsRowDxfId="280" headerRowBorderDxfId="283" tableBorderDxfId="281">
  <autoFilter ref="E37:I43" xr:uid="{54C53876-AC58-4D67-B4EE-00E50F222BE3}">
    <filterColumn colId="0" hiddenButton="1"/>
    <filterColumn colId="1" hiddenButton="1"/>
    <filterColumn colId="2" hiddenButton="1"/>
    <filterColumn colId="3" hiddenButton="1"/>
    <filterColumn colId="4" hiddenButton="1"/>
  </autoFilter>
  <tableColumns count="5">
    <tableColumn id="1" xr3:uid="{EE7BE896-9F73-444B-B132-F0B1D75853C2}" name="Energieträger " totalsRowLabel="Ergebnis" dataDxfId="279" totalsRowDxfId="278"/>
    <tableColumn id="2" xr3:uid="{51FF9657-6FE0-482A-9F55-474F15950F89}" name="Verbrauch" dataDxfId="277" totalsRowDxfId="276"/>
    <tableColumn id="3" xr3:uid="{6A6FDF26-4108-46D0-AAE5-5F13BF48B39F}" name="Einheit " dataDxfId="275" totalsRowDxfId="274"/>
    <tableColumn id="7" xr3:uid="{7B247257-A1F0-41F8-A465-7D4A8CCF2F32}" name="Datenqualität" totalsRowFunction="count" dataDxfId="273" totalsRowDxfId="272"/>
    <tableColumn id="9" xr3:uid="{4B036E72-D8AB-43AA-B9E1-36EDC3489F99}" name="Anmerkung" dataDxfId="271" totalsRowDxfId="2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B8FBF6-03B6-4138-B5FE-9367359AD4EC}" name="Eingabe_Antransport" displayName="Eingabe_Antransport" ref="E115:M128" totalsRowCount="1" headerRowDxfId="269" dataDxfId="268" totalsRowDxfId="266" tableBorderDxfId="267">
  <autoFilter ref="E115:M127" xr:uid="{C4B8FBF6-03B6-4138-B5FE-9367359AD4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C029BB1-79F6-4E3E-A86E-79DA13DE56EB}" name="Beschreibung Transportprozesse, z.B. Produktionsstätte =&gt; Zentrallager; Prduktionsstätte =&gt;Meisterei oder Zentrallager =&gt; Meisterei)" totalsRowLabel="Summe" dataDxfId="265" totalsRowDxfId="264"/>
    <tableColumn id="2" xr3:uid="{B676A12C-F71B-4066-BA21-D71D65BC4006}" name="Spezifikation transportiertes Streumittel" dataDxfId="263" totalsRowDxfId="262"/>
    <tableColumn id="12" xr3:uid="{641DC68F-15B0-402F-9CEA-7F1BC8C07B58}" name="Transportmittel" dataDxfId="261" totalsRowDxfId="260"/>
    <tableColumn id="11" xr3:uid="{9C91A0CE-719E-4D10-B451-0C6AA85CEB33}" name="Transportentfernung, einfache Entfernung (km)" dataDxfId="259" totalsRowDxfId="258"/>
    <tableColumn id="3" xr3:uid="{25EEA9D6-55FA-4C0E-AEE4-EBF3FB9A5B36}" name="Menge an transportiertem Streumittel (Tonnen)" totalsRowFunction="sum" dataDxfId="257" totalsRowDxfId="256"/>
    <tableColumn id="8" xr3:uid="{31CDED38-2067-4BCB-A609-F158F6C4F195}" name="Einheit " totalsRowLabel="Tonnen/funkionelle Einheit" dataDxfId="255" totalsRowDxfId="254">
      <calculatedColumnFormula>"Tonnen / "&amp;Streuflaeche[[#Totals],[Bewertete Streufläche bSF  '[m²'] ]]&amp;" m² bewertete Streufläche"</calculatedColumnFormula>
    </tableColumn>
    <tableColumn id="4" xr3:uid="{F19F1983-0DAA-4126-A382-2A198B356188}" name="Tonnenkilometer (automatisch berechneter Wert) (tkm/funktionelle Einheit)" dataDxfId="253" totalsRowDxfId="252">
      <calculatedColumnFormula>Eingabe_Antransport[[#This Row],[Transportentfernung, einfache Entfernung (km)]]*Eingabe_Antransport[[#This Row],[Menge an transportiertem Streumittel (Tonnen)]]</calculatedColumnFormula>
    </tableColumn>
    <tableColumn id="7" xr3:uid="{68693370-BE0D-4697-9064-BA630C06F549}" name="Datenqualität" dataDxfId="251" totalsRowDxfId="250"/>
    <tableColumn id="5" xr3:uid="{658BE259-38C0-4437-B35D-CAFCA71BD6AE}" name="Anmerkung" dataDxfId="249" totalsRowDxfId="2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7BF199B-5DBD-4070-86C1-9E9DE5516E05}" name="Eingabe_Ausbringungen_Fremdsalz" displayName="Eingabe_Ausbringungen_Fremdsalz" ref="E54:I63" totalsRowCount="1" headerRowDxfId="247" dataDxfId="245" totalsRowDxfId="243" headerRowBorderDxfId="246" tableBorderDxfId="244" totalsRowBorderDxfId="242">
  <autoFilter ref="E54:I62" xr:uid="{17BF199B-5DBD-4070-86C1-9E9DE5516E05}">
    <filterColumn colId="0" hiddenButton="1"/>
    <filterColumn colId="1" hiddenButton="1"/>
    <filterColumn colId="2" hiddenButton="1"/>
    <filterColumn colId="3" hiddenButton="1"/>
    <filterColumn colId="4" hiddenButton="1"/>
  </autoFilter>
  <tableColumns count="5">
    <tableColumn id="1" xr3:uid="{5C7D759F-378D-4F3C-8876-C81DEE230443}" name="Bezeichnung Streumittel (Trockensalz)" totalsRowLabel="Summe" dataDxfId="241" totalsRowDxfId="240"/>
    <tableColumn id="2" xr3:uid="{815DC0BD-F718-4A39-B441-22C40924DB17}" name="Verbrauch [Tonnen/funktionelle Einheit]" totalsRowFunction="sum" dataDxfId="239" totalsRowDxfId="238"/>
    <tableColumn id="3" xr3:uid="{70EA6E59-3E77-4D73-82F1-C42CBDA846A2}" name="Einheit " totalsRowFunction="custom" dataDxfId="237" totalsRowDxfId="236">
      <calculatedColumnFormula>"Tonnen / "&amp;Streuflaeche[[#Totals],[Bewertete Streufläche bSF  '[m²'] ]]&amp;" m² bewertete Streufläche"</calculatedColumnFormula>
      <totalsRowFormula>"Tonnen / "&amp;Streuflaeche[[#Totals],[Bewertete Streufläche bSF  '[m²'] ]]&amp;" m² bewertete Streufläche"</totalsRowFormula>
    </tableColumn>
    <tableColumn id="4" xr3:uid="{7A298AB3-28C0-4492-B7FD-F8AA17F8E123}" name="Datenqualität" dataDxfId="235" totalsRowDxfId="234"/>
    <tableColumn id="5" xr3:uid="{40C73737-65A7-4C8F-BD2E-A4AB2BB51565}" name="Anmerkung" dataDxfId="233" totalsRowDxfId="2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646695-7976-4E54-8E20-E052F4973C4F}" name="Eingabe_Ausbringungen_FremdSole" displayName="Eingabe_Ausbringungen_FremdSole" ref="E68:L80" totalsRowCount="1" headerRowDxfId="231" dataDxfId="230" totalsRowDxfId="228" tableBorderDxfId="229">
  <autoFilter ref="E68:L79" xr:uid="{8B646695-7976-4E54-8E20-E052F4973C4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2A994FD-2111-44D3-A8DA-ACF93FA64A87}" name="Bezeichnung Streumittel (Sole)" totalsRowLabel="Summe" dataDxfId="227" totalsRowDxfId="226"/>
    <tableColumn id="2" xr3:uid="{E07EE90A-B77A-457E-9121-9AB6238B5FE4}" name="Bezug von konzentrierter oder anwendungsfertiger Fremdsole " dataDxfId="225" totalsRowDxfId="224"/>
    <tableColumn id="4" xr3:uid="{6E85D5A2-5AF7-4483-BA5A-8D7D3096D645}" name="Menge an eingesetzter Fremdesole" totalsRowFunction="sum" dataDxfId="223" totalsRowDxfId="222"/>
    <tableColumn id="5" xr3:uid="{2F5A508B-A798-4073-BA6A-E1F40D5D81A1}" name="Einheit " totalsRowFunction="custom" dataDxfId="221" totalsRowDxfId="220">
      <calculatedColumnFormula>"Tonnen / "&amp;Streuflaeche[[#Totals],[Bewertete Streufläche bSF  '[m²'] ]]&amp;" m² bewertete Streufläche"</calculatedColumnFormula>
      <totalsRowFormula>"Tonnen / "&amp;Streuflaeche[[#Totals],[Bewertete Streufläche bSF  '[m²'] ]]&amp;" m² bewertete Streufläche"</totalsRowFormula>
    </tableColumn>
    <tableColumn id="3" xr3:uid="{82046B0C-D5A4-4E7D-82AF-EFA60648E5B9}" name="Anwendungskonzentration der Sole [Prozent] _x000a_Falls Sie nur eine Angabe zur Bandbreite der Anwendungskonzentrationen kennen, geben Sie bitte einen Mittelwert an." dataDxfId="219" totalsRowDxfId="218" dataCellStyle="Prozent"/>
    <tableColumn id="7" xr3:uid="{F6B088EF-902D-4C14-8978-A76A4638EFC6}" name="Datenqualität" dataDxfId="217" totalsRowDxfId="216"/>
    <tableColumn id="8" xr3:uid="{6A837E57-BD1E-4C9E-87B7-ED54B6E1DFEA}" name="Anmerkung" dataDxfId="215" totalsRowDxfId="214"/>
    <tableColumn id="9" xr3:uid="{11FC25B2-FDAB-4243-BF94-6F0AF24C69E2}" name="Wasserverbrauch für die Verdünnung bei Herstellern (Tonne/FU), nur relevant für anwendigungsfertige Fremdsole" dataDxfId="213" totalsRowDxfId="212">
      <calculatedColumnFormula array="1">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9411B2-DC9D-4B02-95AE-B3B06EB470F1}" name="Ergebnis_Absolut" displayName="Ergebnis_Absolut" ref="C63:H73" totalsRowCount="1" headerRowDxfId="189" dataDxfId="187" totalsRowDxfId="185" headerRowBorderDxfId="188" tableBorderDxfId="186" totalsRowBorderDxfId="184">
  <autoFilter ref="C63:H72" xr:uid="{EF9411B2-DC9D-4B02-95AE-B3B06EB470F1}">
    <filterColumn colId="1">
      <customFilters>
        <customFilter operator="greaterThan" val="0"/>
      </customFilters>
    </filterColumn>
  </autoFilter>
  <tableColumns count="6">
    <tableColumn id="1" xr3:uid="{1F4E4FE6-C340-422B-B71F-5536073E890C}" name="Prozess" totalsRowLabel="Summe" dataDxfId="183" totalsRowDxfId="182"/>
    <tableColumn id="7" xr3:uid="{158B3FAF-2F0C-4858-AD84-D24E65E81CAA}" name="Kumulierter Energie Aufwand_x000a_(MJ / funktionelle Einheit)" totalsRowFunction="sum" dataDxfId="181" totalsRowDxfId="180"/>
    <tableColumn id="2" xr3:uid="{83B1877F-72BB-4B58-BD48-6CF435ACF8C5}" name="Treibhauspotenzial _x000a_(kg CO2-Äq / funktionelle Einheit)" totalsRowFunction="sum" dataDxfId="179" totalsRowDxfId="178"/>
    <tableColumn id="3" xr3:uid="{D7F4EFA0-EF42-49E6-B82F-22A4D97B703B}" name="Versauerungspotenzial_x000a_(mol H+-Äq/ funktionelle Einheit)" totalsRowFunction="sum" dataDxfId="177" totalsRowDxfId="176"/>
    <tableColumn id="4" xr3:uid="{DA6960F1-32B8-452C-B9CB-40A96B0444AA}" name="Ozonabbaupotenzial_x000a_(kg CFC11-Äq / funktionelle Einheit)" totalsRowFunction="sum" dataDxfId="175" totalsRowDxfId="174"/>
    <tableColumn id="5" xr3:uid="{38EC9EB8-20F0-447B-B6D1-AAD8DF561A6A}" name="Photooxidantienpotenzial _x000a_(kg NMVOC-Äq / funktionelle Einheit)" totalsRowFunction="sum" dataDxfId="173" totalsRowDxfId="17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D723B0-1366-4F03-BBF8-E537D96C1FE7}" name="Result_Trockensalz" displayName="Result_Trockensalz" ref="C90:H96" totalsRowCount="1" headerRowDxfId="171" dataDxfId="169" totalsRowDxfId="167" headerRowBorderDxfId="170" tableBorderDxfId="168" totalsRowBorderDxfId="166">
  <autoFilter ref="C90:H95" xr:uid="{92D723B0-1366-4F03-BBF8-E537D96C1FE7}">
    <filterColumn colId="0" hiddenButton="1"/>
    <filterColumn colId="1" hiddenButton="1"/>
    <filterColumn colId="2" hiddenButton="1"/>
    <filterColumn colId="3" hiddenButton="1"/>
    <filterColumn colId="4" hiddenButton="1"/>
    <filterColumn colId="5" hiddenButton="1"/>
  </autoFilter>
  <tableColumns count="6">
    <tableColumn id="1" xr3:uid="{C0131CE1-22FE-4FBC-B76A-CE9629F7A6DD}" name="Bezeichnung Streumittel" totalsRowLabel="Summe" dataDxfId="165" totalsRowDxfId="164"/>
    <tableColumn id="2" xr3:uid="{14F98FA7-D273-417D-9472-5BF7C1204EAE}" name="Kumulierter Energie Aufwand_x000a_(MJ / funktionelle Einheit)" totalsRowFunction="sum" dataDxfId="163" totalsRowDxfId="162">
      <calculatedColumnFormula>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calculatedColumnFormula>
    </tableColumn>
    <tableColumn id="3" xr3:uid="{1FB92B5A-453B-4ED9-B2AB-4121AB823600}" name="Treibhauspotenzial _x000a_(kg CO2-Äq / funktionelle Einheit)" totalsRowFunction="sum" dataDxfId="161" totalsRowDxfId="160">
      <calculatedColumnFormula>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calculatedColumnFormula>
    </tableColumn>
    <tableColumn id="4" xr3:uid="{73A40F2B-A32B-47E3-B101-10703FD0206B}" name="Versauerungspotenzial_x000a_(mol H+-Äq/ funktionelle Einheit)" totalsRowFunction="sum" dataDxfId="159" totalsRowDxfId="158">
      <calculatedColumnFormula>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calculatedColumnFormula>
    </tableColumn>
    <tableColumn id="5" xr3:uid="{647202B0-DA36-4F56-9B57-774D1F95671A}" name="Ozonabbaupotenzial_x000a_(kg CFC11-Äq / funktionelle Einheit" totalsRowFunction="sum" dataDxfId="157" totalsRowDxfId="156">
      <calculatedColumnFormula>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calculatedColumnFormula>
    </tableColumn>
    <tableColumn id="6" xr3:uid="{6FBF1350-22B7-42BD-A4B1-7257FA1C5025}" name="Photooxidantienpotenzial _x000a_(kg NMVOC-Äq / funktionelle Einheit)" totalsRowFunction="sum" dataDxfId="155" totalsRowDxfId="154">
      <calculatedColumnFormula>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ACF912-70AA-4796-9A03-04C53FF5CE4C}" name="Result_Sole" displayName="Result_Sole" ref="C99:H106" totalsRowCount="1" headerRowDxfId="153" dataDxfId="151" totalsRowDxfId="149" headerRowBorderDxfId="152" tableBorderDxfId="150" totalsRowBorderDxfId="148">
  <autoFilter ref="C99:H105" xr:uid="{D7ACF912-70AA-4796-9A03-04C53FF5CE4C}">
    <filterColumn colId="0" hiddenButton="1"/>
    <filterColumn colId="1" hiddenButton="1"/>
    <filterColumn colId="2" hiddenButton="1"/>
    <filterColumn colId="3" hiddenButton="1"/>
    <filterColumn colId="4" hiddenButton="1"/>
    <filterColumn colId="5" hiddenButton="1"/>
  </autoFilter>
  <tableColumns count="6">
    <tableColumn id="1" xr3:uid="{60FFDA09-2A76-4824-8E81-A942938E51FB}" name="Bezeichnung Streumittel" totalsRowLabel="Summe" dataDxfId="147" totalsRowDxfId="146"/>
    <tableColumn id="2" xr3:uid="{FD6D8579-798F-4A54-991E-212288FAA08B}" name="Kumulierter Energie Aufwand_x000a_(MJ / funktionelle Einheit)" totalsRowFunction="sum" dataDxfId="145" totalsRowDxfId="144">
      <calculatedColumnFormula>IF(Result_Sole[[#This Row],[Bezeichnung Streumittel]]="Sole_NaCl",'Eingabe spezifische Daten'!$G69*'Eingabe spezifische Daten'!#REF!*IF('Eingabe spezifische Daten'!$F69='Eingabe spezifische Daten'!$I69,Emissionsfaktoren!#REF!,((Emissionsfaktoren!D$12*'Eingabe spezifische Daten'!$F69+(1-'Eingabe spezifische Daten'!$F69)*EF_KEA_Wasser)+(EF_KEA_NaCl_Konz_Sole))/2),IF(Result_Sole[[#This Row],[Bezeichnung Streumittel]]="Sole_CaCl2",'Eingabe spezifische Daten'!$G69*'Eingabe spezifische Daten'!#REF!*IF('Eingabe spezifische Daten'!$F69='Eingabe spezifische Daten'!$I69,Emissionsfaktoren!#REF!,EF_KEA_CaCl2_Konz_Sole),'Eingabe spezifische Daten'!$G69*'Eingabe spezifische Daten'!#REF!*IF('Eingabe spezifische Daten'!$F69='Eingabe spezifische Daten'!$I69,Emissionsfaktoren!#REF!,EF_KEA_MgCl2_Konz_Sole)))</calculatedColumnFormula>
    </tableColumn>
    <tableColumn id="3" xr3:uid="{C17B2D95-DCA5-4529-9CC2-A8B057D4525D}" name="Treibhauspotenzial _x000a_(kg CO2-Äq / funktionelle Einheit)" totalsRowFunction="sum" dataDxfId="143" totalsRowDxfId="142">
      <calculatedColumnFormula>IF(Result_Sole[[#This Row],[Bezeichnung Streumittel]]="Sole_NaCl",'Eingabe spezifische Daten'!$G69*'Eingabe spezifische Daten'!#REF!*IF('Eingabe spezifische Daten'!$F69='Eingabe spezifische Daten'!$I69,Emissionsfaktoren!#REF!,((Emissionsfaktoren!E$12*'Eingabe spezifische Daten'!$F69+(1-'Eingabe spezifische Daten'!$F69)*EF_GWP_Wasser)+(EF_GWP_NaCl_Konz_Sole))/2),IF(Result_Sole[[#This Row],[Bezeichnung Streumittel]]="Sole_CaCl2",'Eingabe spezifische Daten'!$G69*'Eingabe spezifische Daten'!#REF!*IF('Eingabe spezifische Daten'!$F69='Eingabe spezifische Daten'!$I69,Emissionsfaktoren!#REF!,EF_GWP_CaCl2_Konz_Sole),'Eingabe spezifische Daten'!$G69*'Eingabe spezifische Daten'!#REF!*IF('Eingabe spezifische Daten'!$F69='Eingabe spezifische Daten'!$I69,Emissionsfaktoren!#REF!,EF_GWP_MgCl2_Konz_Sole)))</calculatedColumnFormula>
    </tableColumn>
    <tableColumn id="4" xr3:uid="{C8C110FD-9071-4B3F-A283-49A152A04D52}" name="Versauerungspotenzial_x000a_(mol H+-Äq/ funktionelle Einheit)" totalsRowFunction="sum" dataDxfId="141" totalsRowDxfId="140">
      <calculatedColumnFormula>IF(Result_Sole[[#This Row],[Kumulierter Energie Aufwand
(MJ / funktionelle Einheit)]]="Sole_NaCl",'Eingabe spezifische Daten'!$G69*'Eingabe spezifische Daten'!#REF!*IF('Eingabe spezifische Daten'!$F69='Eingabe spezifische Daten'!$I69,Emissionsfaktoren!#REF!,((Emissionsfaktoren!F$12*'Eingabe spezifische Daten'!$F69+(1-'Eingabe spezifische Daten'!$F69)*EF_AP_Wasser)+(EF_AP_NaCl_Konz_Sole))/2),IF(Result_Sole[[#This Row],[Kumulierter Energie Aufwand
(MJ / funktionelle Einheit)]]="Sole_CaCl2",'Eingabe spezifische Daten'!$G69*'Eingabe spezifische Daten'!#REF!*IF('Eingabe spezifische Daten'!$F69='Eingabe spezifische Daten'!$I69,Emissionsfaktoren!#REF!,EF_AP_CaCl2_Konz_Sole),'Eingabe spezifische Daten'!$G69*'Eingabe spezifische Daten'!#REF!*IF('Eingabe spezifische Daten'!$F69='Eingabe spezifische Daten'!$I69,Emissionsfaktoren!#REF!,EF_AP_MgCl2_Konz_Sole)))</calculatedColumnFormula>
    </tableColumn>
    <tableColumn id="5" xr3:uid="{B09EA7C6-8D43-40ED-B43F-6013ADC13464}" name="Ozonabbaupotenzial_x000a_(kg CFC11-Äq / funktionelle Einheit)" totalsRowFunction="sum" dataDxfId="139" totalsRowDxfId="138">
      <calculatedColumnFormula>IF(Result_Sole[[#This Row],[Treibhauspotenzial 
(kg CO2-Äq / funktionelle Einheit)]]="Sole_NaCl",'Eingabe spezifische Daten'!$G69*'Eingabe spezifische Daten'!#REF!*IF('Eingabe spezifische Daten'!$F69='Eingabe spezifische Daten'!$I69,Emissionsfaktoren!#REF!,((Emissionsfaktoren!G$12*'Eingabe spezifische Daten'!$F69+(1-'Eingabe spezifische Daten'!$F69)*EF_ODP_Wasser)+(EF_ODP_NaCl_Konz_Sole))/2),IF(Result_Sole[[#This Row],[Treibhauspotenzial 
(kg CO2-Äq / funktionelle Einheit)]]="Sole_CaCl2",'Eingabe spezifische Daten'!$G69*'Eingabe spezifische Daten'!#REF!*IF('Eingabe spezifische Daten'!$F69='Eingabe spezifische Daten'!$I69,Emissionsfaktoren!#REF!,EF_ODP_CaCl2_Konz_Sole),'Eingabe spezifische Daten'!$G69*'Eingabe spezifische Daten'!#REF!*IF('Eingabe spezifische Daten'!$F69='Eingabe spezifische Daten'!$I69,Emissionsfaktoren!#REF!,EF_ODP_MgCl2_Konz_Sole)))</calculatedColumnFormula>
    </tableColumn>
    <tableColumn id="6" xr3:uid="{A5BA2D47-5648-4D88-8C75-6FE006A15B95}" name="Photooxidantienpotenzial _x000a_(kg NMVOC-Äq / funktionelle Einheit)" totalsRowFunction="sum" dataDxfId="137" totalsRowDxfId="136">
      <calculatedColumnFormula>IF(Result_Sole[[#This Row],[Versauerungspotenzial
(mol H+-Äq/ funktionelle Einheit)]]="Sole_NaCl",'Eingabe spezifische Daten'!$G69*'Eingabe spezifische Daten'!#REF!*IF('Eingabe spezifische Daten'!$F69='Eingabe spezifische Daten'!$I69,Emissionsfaktoren!#REF!,((Emissionsfaktoren!H$12*'Eingabe spezifische Daten'!$F69+(1-'Eingabe spezifische Daten'!$F69)*EF_POCP_Wasser)+(EF_POCP_NaCl_Konz_Sole))/2),IF(Result_Sole[[#This Row],[Versauerungspotenzial
(mol H+-Äq/ funktionelle Einheit)]]="Sole_CaCl2",'Eingabe spezifische Daten'!$G69*'Eingabe spezifische Daten'!#REF!*IF('Eingabe spezifische Daten'!$F69='Eingabe spezifische Daten'!$I69,Emissionsfaktoren!#REF!,EF_POCP_CaCl2_Konz_Sole),'Eingabe spezifische Daten'!$G69*'Eingabe spezifische Daten'!#REF!*IF('Eingabe spezifische Daten'!$F69='Eingabe spezifische Daten'!$I69,Emissionsfaktoren!#REF!,EF_POCP_MgCl2_Konz_Sole)))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99508C-947E-4A69-93F9-BEBE8A27BD20}" name="Result_Antransport" displayName="Result_Antransport" ref="C109:H122" totalsRowCount="1" headerRowDxfId="135" dataDxfId="133" totalsRowDxfId="131" headerRowBorderDxfId="134" tableBorderDxfId="132" totalsRowBorderDxfId="130">
  <autoFilter ref="C109:H121" xr:uid="{8199508C-947E-4A69-93F9-BEBE8A27BD20}">
    <filterColumn colId="0" hiddenButton="1"/>
    <filterColumn colId="1" hiddenButton="1"/>
    <filterColumn colId="2" hiddenButton="1"/>
    <filterColumn colId="3" hiddenButton="1"/>
    <filterColumn colId="4" hiddenButton="1"/>
    <filterColumn colId="5" hiddenButton="1"/>
  </autoFilter>
  <tableColumns count="6">
    <tableColumn id="1" xr3:uid="{E120EC31-D7C7-4823-B936-A305D3226F60}" name="Transportmittel" totalsRowLabel="Summe" dataDxfId="129" totalsRowDxfId="128"/>
    <tableColumn id="2" xr3:uid="{692E76C5-602E-44B6-9297-E11B3658C6C1}" name="Kumulierter Energie Aufwand_x000a_(MJ / funktionelle Einheit)" totalsRowFunction="sum" dataDxfId="127" totalsRowDxfId="126">
      <calculatedColumnFormula>_xlfn.XLOOKUP(Result_Antransport[[#This Row],[Transportmittel]],Eingabe_Antransport[Transportmittel],Eingabe_Antransport[Transportentfernung, einfache Entfernung (km)],0)*_xlfn.XLOOKUP(Result_Antransport[[#This Row],[Transportmittel]],Eingabe_Antransport[Transportmittel],Eingabe_Antransport[Menge an transportiertem Streumittel (Tonnen)],0)*_xlfn.XLOOKUP(Result_Antransport[[#This Row],[Transportmittel]],Transportmittel_AntransportStreumittel,Emissionsfaktoren!D$35:D$46,0)</calculatedColumnFormula>
    </tableColumn>
    <tableColumn id="3" xr3:uid="{AC1E635B-799D-455D-8A98-883F006C7A98}" name="Treibhauspotenzial _x000a_(kg CO2-Äq / funktionelle Einheit)" totalsRowFunction="sum" dataDxfId="125" totalsRowDxfId="124"/>
    <tableColumn id="4" xr3:uid="{5472DEDB-9248-4482-8D82-F01CD4FBF17F}" name="Versauerungspotenzial_x000a_(mol H+-Äq/ funktionelle Einheit)" totalsRowFunction="sum" dataDxfId="123" totalsRowDxfId="122"/>
    <tableColumn id="5" xr3:uid="{0047D8AC-14C7-4C0D-A648-FD664D515E44}" name="Ozonabbaupotenzial_x000a_(kg CFC11-Äq / funktionelle Einheit)" totalsRowFunction="sum" dataDxfId="121" totalsRowDxfId="120"/>
    <tableColumn id="6" xr3:uid="{72F84444-818B-4749-BD33-ADA607FCACCE}" name="Photooxidantienpotenzial _x000a_(kg NMVOC-Äq / funktionelle Einheit)" totalsRowFunction="sum" dataDxfId="119" totalsRowDxfId="11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3F56CB-BD64-4CED-A586-AB8D51A67181}" name="Result_Ausbringung" displayName="Result_Ausbringung" ref="C125:H144" totalsRowCount="1" headerRowDxfId="117" dataDxfId="115" totalsRowDxfId="113" headerRowBorderDxfId="116" tableBorderDxfId="114" totalsRowBorderDxfId="112">
  <autoFilter ref="C125:H143" xr:uid="{913F56CB-BD64-4CED-A586-AB8D51A67181}">
    <filterColumn colId="0" hiddenButton="1"/>
    <filterColumn colId="1" hiddenButton="1"/>
    <filterColumn colId="2" hiddenButton="1"/>
    <filterColumn colId="3" hiddenButton="1"/>
    <filterColumn colId="4" hiddenButton="1"/>
    <filterColumn colId="5" hiddenButton="1"/>
  </autoFilter>
  <tableColumns count="6">
    <tableColumn id="1" xr3:uid="{E35E0A96-7673-4F48-9398-14E981EE900C}" name="Fahrzeuge (Lkw, zulässiges Gesamtgewicht, Euro_Norm, Kraftstoffe)" totalsRowLabel="Summe" dataDxfId="111" totalsRowDxfId="110"/>
    <tableColumn id="2" xr3:uid="{50A7B531-B697-4FD8-ABE7-D59B4F1524C7}" name="Kumulierter Energie Aufwand_x000a_(MJ / funktionelle Einheit)" totalsRowFunction="sum" dataDxfId="109" totalsRowDxfId="108">
      <calculatedColumnFormula array="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calculatedColumnFormula>
    </tableColumn>
    <tableColumn id="3" xr3:uid="{A852D400-6435-447B-8C90-B20F7667E0C0}" name="Treibhauspotenzial _x000a_(kg CO2-Äq / funktionelle Einheit)" totalsRowFunction="sum" dataDxfId="107" totalsRowDxfId="106">
      <calculatedColumnFormula array="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calculatedColumnFormula>
    </tableColumn>
    <tableColumn id="4" xr3:uid="{B8E17D8E-B8A6-4096-BB78-9C6A5207E644}" name="Versauerungspotenzial_x000a_(mol H+-Äq/ funktionelle Einheit)" totalsRowFunction="sum" dataDxfId="105" totalsRowDxfId="104">
      <calculatedColumnFormula array="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calculatedColumnFormula>
    </tableColumn>
    <tableColumn id="5" xr3:uid="{D0336CA5-D56C-49D3-97F6-E65684286A33}" name="Ozonabbaupotenzial_x000a_(kg CFC11-Äq / funktionelle Einheit)" totalsRowFunction="sum" dataDxfId="103" totalsRowDxfId="102">
      <calculatedColumnFormula array="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calculatedColumnFormula>
    </tableColumn>
    <tableColumn id="6" xr3:uid="{918AB4D5-5092-42C7-AFD4-AA6D9E13BCA5}" name="Photooxidantienpotenzial _x000a_(kg NMVOC-Äq / funktionelle Einheit)" totalsRowFunction="sum" dataDxfId="101" totalsRowDxfId="100">
      <calculatedColumnFormula array="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E2F68B-2766-4A94-A899-4890449455DB}" name="Result_Eigen_Wärmebereitstellung" displayName="Result_Eigen_Wärmebereitstellung" ref="C147:H154" totalsRowCount="1" headerRowDxfId="99" dataDxfId="97" totalsRowDxfId="95" headerRowBorderDxfId="98" tableBorderDxfId="96" totalsRowBorderDxfId="94">
  <autoFilter ref="C147:H153" xr:uid="{75E2F68B-2766-4A94-A899-4890449455DB}">
    <filterColumn colId="0" hiddenButton="1"/>
    <filterColumn colId="1" hiddenButton="1"/>
    <filterColumn colId="2" hiddenButton="1"/>
    <filterColumn colId="3" hiddenButton="1"/>
    <filterColumn colId="4" hiddenButton="1"/>
    <filterColumn colId="5" hiddenButton="1"/>
  </autoFilter>
  <tableColumns count="6">
    <tableColumn id="1" xr3:uid="{695B9355-15EC-4D3E-A027-36F3EA0578E9}" name="Energieträger / Einheit der Energieträger" totalsRowLabel="Summe" dataDxfId="93" totalsRowDxfId="92"/>
    <tableColumn id="2" xr3:uid="{0C779931-8B54-49AA-B343-F55557989E8E}" name="Kumulierter Energie Aufwand_x000a_(MJ / funktionelle Einheit)" totalsRowFunction="sum" dataDxfId="91" totalsRowDxfId="90">
      <calculatedColumnFormula>'Eingabe spezifische Daten'!$F38*Emissionsfaktoren!D89</calculatedColumnFormula>
    </tableColumn>
    <tableColumn id="3" xr3:uid="{7A7AB941-7A9B-4508-9388-2513C12BBB88}" name="Treibhauspotenzial _x000a_(kg CO2-Äq / funktionelle Einheit)" totalsRowFunction="sum" dataDxfId="89" totalsRowDxfId="88"/>
    <tableColumn id="4" xr3:uid="{22149F7C-B5B2-4C9C-805A-DAD9ED2C2882}" name="Versauerungspotenzial_x000a_(mol H+-Äq/ funktionelle Einheit)" totalsRowFunction="sum" dataDxfId="87" totalsRowDxfId="86"/>
    <tableColumn id="5" xr3:uid="{036D2985-AD17-453F-9704-8475C49E7C3A}" name="Ozonabbaupotenzial_x000a_(kg CFC11-Äq / funktionelle Einheit)" totalsRowFunction="sum" dataDxfId="85" totalsRowDxfId="84"/>
    <tableColumn id="6" xr3:uid="{1108ECCE-60CA-4D91-8888-4F7105C32DD9}" name="Photooxidantienpotenzial _x000a_(kg NMVOC-Äq / funktionelle Einheit)" totalsRowFunction="sum" dataDxfId="83" totalsRowDxfId="8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E2DAE1-C8AB-4C32-B32D-2AC1AC6120A8}" name="Ergebnis_in_Prozent" displayName="Ergebnis_in_Prozent" ref="C76:H86" totalsRowShown="0" headerRowDxfId="81" dataDxfId="80" tableBorderDxfId="79" dataCellStyle="Prozent">
  <autoFilter ref="C76:H86" xr:uid="{87E2DAE1-C8AB-4C32-B32D-2AC1AC6120A8}">
    <filterColumn colId="1">
      <customFilters>
        <customFilter operator="greaterThan" val="0"/>
      </customFilters>
    </filterColumn>
  </autoFilter>
  <tableColumns count="6">
    <tableColumn id="1" xr3:uid="{AA7484C8-33E9-4E28-B1AC-8EAE4BDAB40E}" name="Prozess" dataDxfId="78"/>
    <tableColumn id="2" xr3:uid="{3543F921-3A34-422A-8B26-1EC87E9AABE3}" name="Kumulierter Energie Aufwand_x000a_(MJ / funktionelle Einheit)" dataDxfId="77" dataCellStyle="Prozent"/>
    <tableColumn id="3" xr3:uid="{41DB533F-9058-432E-B74C-C718D58FAC2D}" name="Treibhauspotenzial _x000a_(kg CO2-Äq / funktionelle Einheit)" dataDxfId="76" dataCellStyle="Prozent"/>
    <tableColumn id="4" xr3:uid="{E9962516-9887-4428-9D80-BAEA58B5CC56}" name="Versauerungspotenzial_x000a_(mol H+-Äq/ funktionelle Einheit)" dataDxfId="75" dataCellStyle="Prozent"/>
    <tableColumn id="5" xr3:uid="{17047586-A8FC-4D54-8EE2-416539C46682}" name="Ozonabbaupotenzial_x000a_(kg CFC11-Äq / funktionelle Einheit)" dataDxfId="74" dataCellStyle="Prozent"/>
    <tableColumn id="6" xr3:uid="{56111BF8-EBDE-45D5-86B4-4626ED08386E}" name="Photooxidantienpotenzial _x000a_(kg NMVOC-Äq / funktionelle Einheit)" dataDxfId="73" dataCellStyle="Proz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5AE44-290A-4DBF-B83D-ADD00D102CA6}" name="EF_Ausbringung" displayName="EF_Ausbringung" ref="C52:J70" totalsRowShown="0" headerRowDxfId="72" dataDxfId="70" headerRowBorderDxfId="71" tableBorderDxfId="69" totalsRowBorderDxfId="68">
  <tableColumns count="8">
    <tableColumn id="1" xr3:uid="{ECB01097-2EFC-42C6-AA7B-3ECC06CB0A47}" name="Fahrzeug (Fahrzeugtyp, zulässiges Gesamtgewicht, Abgasnorm, Kraftstoff)" dataDxfId="67"/>
    <tableColumn id="9" xr3:uid="{82145515-3B69-4CA2-822A-66E35F97BC7B}" name="Einheit" dataDxfId="66"/>
    <tableColumn id="2" xr3:uid="{64CC6DD2-355F-4CDD-BBA0-7BED5185E648}" name="KEA (MJ  / Einheit)" dataDxfId="65"/>
    <tableColumn id="3" xr3:uid="{2746B7B3-49F7-4DAB-9DF0-705B9E17AB17}" name="GWP (kg CO2Äq. / Einheit)" dataDxfId="64"/>
    <tableColumn id="4" xr3:uid="{C3066005-BD26-444B-9B0E-5299BAC0B558}" name="AP (mol H+ Äq. / Einheit)" dataDxfId="63"/>
    <tableColumn id="5" xr3:uid="{D64C7864-D5B5-47D4-80A1-92D47E6CD2F5}" name="ODP (kg FCKW-11 Äq. / Einheit)" dataDxfId="62"/>
    <tableColumn id="6" xr3:uid="{177540DD-6806-4D80-8161-EF0375E1EC19}" name="POCP (kg NMVOC Äq. / Einheit)" dataDxfId="61"/>
    <tableColumn id="8" xr3:uid="{48B87839-E7CD-4CA6-B7B5-F44F660F7FF8}" name="Quelle" dataDxfId="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5326A5-E9E8-45A2-8AD2-F9B815251CA5}" name="Deutsch_Strom_Mix" displayName="Deutsch_Strom_Mix" ref="C75:I76" totalsRowShown="0" headerRowDxfId="59" dataDxfId="57" headerRowBorderDxfId="58" tableBorderDxfId="56" totalsRowBorderDxfId="55">
  <autoFilter ref="C75:I76" xr:uid="{565326A5-E9E8-45A2-8AD2-F9B815251CA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42070A-1163-4F27-96E8-CF01E365927A}" name="Energie" dataDxfId="54"/>
    <tableColumn id="2" xr3:uid="{852FA284-3E44-4A81-A7F7-6E2149047529}" name="KEA (MJ  / kWh)" dataDxfId="53"/>
    <tableColumn id="3" xr3:uid="{CF99C99E-6A17-446C-B213-37AD918E6A62}" name="GWP (kg CO2Äq.  / kWh)" dataDxfId="52"/>
    <tableColumn id="4" xr3:uid="{437149B5-7E57-4776-8FBC-F3F5B64B01FD}" name="AP (mol H+ Äq. / kWh)" dataDxfId="51"/>
    <tableColumn id="5" xr3:uid="{F5DA39E3-4B18-4AC6-942F-727139BE9B4F}" name="ODP (kg FCKW-11 Äq. / kWh)" dataDxfId="50"/>
    <tableColumn id="6" xr3:uid="{940F5038-757F-434B-8764-4884D82950D3}" name="POCP (kg NMVOC Äq. / kWh)" dataDxfId="49"/>
    <tableColumn id="8" xr3:uid="{1B38CD78-E45F-4F16-B2DB-1113F7C9774B}" name="Quelle" dataDxfId="4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59E95A-8BF5-42F4-9CA4-91550AC7C68C}" name="EF_StreumittelTrocken_Herstellung" displayName="EF_StreumittelTrocken_Herstellung" ref="C11:I16" totalsRowShown="0" headerRowDxfId="47" dataDxfId="45" headerRowBorderDxfId="46" tableBorderDxfId="44" totalsRowBorderDxfId="43">
  <tableColumns count="7">
    <tableColumn id="1" xr3:uid="{1BBC8003-53F1-4893-A7BC-B57212E17116}" name="Trockensalz" dataDxfId="42"/>
    <tableColumn id="4" xr3:uid="{3785A4FC-0500-4996-84AD-78D7CCBD8D05}" name="KEA (MJ  / Tonne)" dataDxfId="41"/>
    <tableColumn id="5" xr3:uid="{2B0FCF0D-B2FB-4841-A1AB-86BBF29512D1}" name="GWP (kg CO2Äq.  /  Tonne)" dataDxfId="40"/>
    <tableColumn id="6" xr3:uid="{9BC09B88-2765-4B79-9070-8185BB66F14B}" name="AP (mol H+ Äq. / Tonne)" dataDxfId="39"/>
    <tableColumn id="3" xr3:uid="{BF4759ED-A246-46D0-BC28-2B1563EB4182}" name="ODP (kg FCKW-11 Äq. / Tonne)" dataDxfId="38"/>
    <tableColumn id="7" xr3:uid="{FA1E6C83-2F84-40F0-8441-DB9565ADD1B6}" name="POCP (kg NMVOC Äq. / Tonne)" dataDxfId="37"/>
    <tableColumn id="8" xr3:uid="{264756A5-AF28-4E1D-8C56-07261385AF76}" name="Quelle" dataDxfId="3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5AD1C52-D018-4D27-A91B-BCFAA7DE128C}" name="Deutsch_Wärme_Mix" displayName="Deutsch_Wärme_Mix" ref="C78:I79" totalsRowShown="0" headerRowDxfId="35" dataDxfId="33" headerRowBorderDxfId="34" tableBorderDxfId="32" totalsRowBorderDxfId="31">
  <autoFilter ref="C78:I79" xr:uid="{B5AD1C52-D018-4D27-A91B-BCFAA7DE128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B408583-A1F6-4289-8463-347EC345DDD5}" name="Energie" dataDxfId="30"/>
    <tableColumn id="2" xr3:uid="{CC73AEFA-5E10-4223-8F14-4E03B1F4AFDC}" name="KEA (MJ  / MJ)" dataDxfId="29"/>
    <tableColumn id="3" xr3:uid="{9AA6212D-5B94-49D1-87DF-0606729CB217}" name="GWP (kg CO2Äq.  / MJ)" dataDxfId="28"/>
    <tableColumn id="4" xr3:uid="{697CDC4C-AABB-4E1D-8A55-8EC5174C6B23}" name="AP (mol H+ Äq. / MJ)" dataDxfId="27"/>
    <tableColumn id="5" xr3:uid="{B5327A71-AEE1-40B6-B6F2-1CF05C40F998}" name="ODP (kg FCKQ-11 Äq. / MJ)" dataDxfId="26"/>
    <tableColumn id="6" xr3:uid="{8D700E73-02BE-4620-91DA-8BAACBB44662}" name="POCP (kg NMVOC Äq. / MJ)" dataDxfId="25"/>
    <tableColumn id="8" xr3:uid="{59C279FF-641A-4280-A241-811B6E6A7FBB}" name="Quelle" dataDxfId="2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BA7A95-7250-455E-8C01-DDFA81CA0B29}" name="EF_kon_Sole" displayName="EF_kon_Sole" ref="C18:I23" totalsRowShown="0" headerRowDxfId="23" dataDxfId="21" headerRowBorderDxfId="22" tableBorderDxfId="20" totalsRowBorderDxfId="19">
  <autoFilter ref="C18:I23" xr:uid="{DDBA7A95-7250-455E-8C01-DDFA81CA0B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0D16A9-DC1F-400C-9244-396D7C9F8E87}" name="Sole" dataDxfId="18"/>
    <tableColumn id="2" xr3:uid="{4F63AD8D-3ED1-446F-9310-71A2D9374ABD}" name="KEA (MJ  / Tonne)" dataDxfId="17"/>
    <tableColumn id="3" xr3:uid="{4B9AA9A8-6DCB-40D3-88BD-1852464D87BA}" name="GWP (kg CO2Äq.  /  Tonne)" dataDxfId="16"/>
    <tableColumn id="4" xr3:uid="{9EE78B89-2A6F-4A19-9F6D-5DA0CBD73EF7}" name="AP (mol H+ Äq. / Tonne)" dataDxfId="15"/>
    <tableColumn id="5" xr3:uid="{CF32AC2B-6656-4FE4-B5D1-830B8FE10A81}" name="ODP (kg FCKW-11 Äq. / Tonne)" dataDxfId="14"/>
    <tableColumn id="6" xr3:uid="{254332DC-5B89-455B-9F34-BAFF5FE5A103}" name="POCP (kg NMVOC Äq. / Tonne)" dataDxfId="13"/>
    <tableColumn id="8" xr3:uid="{2D58F86A-9A09-4B00-B45F-E0FFB2B6365E}" name="Quelle" dataDxfId="1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9EEFB74-300F-4C8B-9B70-85D33BB91F31}" name="EF_Antransport" displayName="EF_Antransport" ref="C34:I46" totalsRowShown="0" headerRowDxfId="11" dataDxfId="9" headerRowBorderDxfId="10" tableBorderDxfId="8" totalsRowBorderDxfId="7">
  <autoFilter ref="C34:I46" xr:uid="{19EEFB74-300F-4C8B-9B70-85D33BB91F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74EFFE-24B2-4B8C-9DC8-0C24EAED69FF}" name="Transportmittel" dataDxfId="6"/>
    <tableColumn id="2" xr3:uid="{F698C786-322F-49D2-9B01-46FC57A7E45F}" name="KEA (MJ  / tkm)" dataDxfId="5"/>
    <tableColumn id="3" xr3:uid="{48BEF4E1-6BC2-462F-BF77-76397CFB6639}" name="GWP (kg CO2Äq.  / tkm)" dataDxfId="4"/>
    <tableColumn id="4" xr3:uid="{198B8AF5-407B-421C-85D6-72116E621645}" name="AP (mol H+ Äq. / tkm)" dataDxfId="3"/>
    <tableColumn id="5" xr3:uid="{0E07654F-E291-4168-A8D9-0C96EEBAF386}" name="ODP (kg FCKW-11 Äq. / tkm)" dataDxfId="2"/>
    <tableColumn id="6" xr3:uid="{D80FC823-34D2-4FD5-B1AC-3C979F3AABDA}" name="POCP (kg NMVOC Äq. / tkm)" dataDxfId="1"/>
    <tableColumn id="8" xr3:uid="{4417CA41-28FA-4292-8EAA-CD0ECA806907}" name="Quell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image" Target="../media/image5.emf"/><Relationship Id="rId10" Type="http://schemas.openxmlformats.org/officeDocument/2006/relationships/table" Target="../tables/table6.xml"/><Relationship Id="rId4" Type="http://schemas.openxmlformats.org/officeDocument/2006/relationships/control" Target="../activeX/activeX1.xml"/><Relationship Id="rId9" Type="http://schemas.openxmlformats.org/officeDocument/2006/relationships/table" Target="../tables/table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vmlDrawing" Target="../drawings/vmlDrawing2.v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ctrlProp" Target="../ctrlProps/ctrlProp2.xml"/><Relationship Id="rId10" Type="http://schemas.openxmlformats.org/officeDocument/2006/relationships/table" Target="../tables/table13.xml"/><Relationship Id="rId4" Type="http://schemas.openxmlformats.org/officeDocument/2006/relationships/ctrlProp" Target="../ctrlProps/ctrlProp1.xm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data.europa.eu/89h/jrc-eplca-09aa1e7b-1d7d-4a7c-8dde-ec6d40022f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0505-5F37-404E-BF6B-68034FAD33E1}">
  <sheetPr codeName="Deckblatt">
    <tabColor rgb="FFCCCC00"/>
  </sheetPr>
  <dimension ref="B14:P38"/>
  <sheetViews>
    <sheetView showGridLines="0" tabSelected="1" topLeftCell="A17" zoomScale="80" zoomScaleNormal="80" workbookViewId="0">
      <selection activeCell="G32" sqref="G32"/>
    </sheetView>
  </sheetViews>
  <sheetFormatPr baseColWidth="10" defaultColWidth="11.42578125" defaultRowHeight="15" x14ac:dyDescent="0.25"/>
  <cols>
    <col min="1" max="1" width="4.42578125" customWidth="1"/>
    <col min="16" max="16" width="30.42578125" customWidth="1"/>
  </cols>
  <sheetData>
    <row r="14" spans="2:2" ht="18.75" x14ac:dyDescent="0.3">
      <c r="B14" s="70" t="s">
        <v>302</v>
      </c>
    </row>
    <row r="15" spans="2:2" ht="18.75" x14ac:dyDescent="0.3">
      <c r="B15" s="387" t="s">
        <v>484</v>
      </c>
    </row>
    <row r="16" spans="2:2" ht="18.75" x14ac:dyDescent="0.3">
      <c r="B16" s="387" t="s">
        <v>382</v>
      </c>
    </row>
    <row r="17" spans="2:16" ht="18.75" x14ac:dyDescent="0.3">
      <c r="B17" s="387" t="s">
        <v>406</v>
      </c>
    </row>
    <row r="18" spans="2:16" ht="18.75" x14ac:dyDescent="0.3">
      <c r="B18" s="387" t="s">
        <v>405</v>
      </c>
    </row>
    <row r="19" spans="2:16" ht="18.75" x14ac:dyDescent="0.3">
      <c r="B19" s="70"/>
    </row>
    <row r="20" spans="2:16" ht="18.75" x14ac:dyDescent="0.3">
      <c r="B20" s="70" t="s">
        <v>0</v>
      </c>
      <c r="C20" s="70"/>
      <c r="D20" s="70"/>
      <c r="E20" s="70"/>
      <c r="F20" s="70"/>
      <c r="G20" s="70"/>
    </row>
    <row r="21" spans="2:16" ht="18.75" x14ac:dyDescent="0.3">
      <c r="B21" s="70"/>
      <c r="C21" s="387" t="s">
        <v>403</v>
      </c>
      <c r="D21" s="70"/>
      <c r="E21" s="70"/>
      <c r="F21" s="70"/>
      <c r="G21" s="70"/>
      <c r="I21" s="1"/>
    </row>
    <row r="22" spans="2:16" ht="18.75" x14ac:dyDescent="0.3">
      <c r="B22" s="70"/>
      <c r="C22" s="387" t="s">
        <v>404</v>
      </c>
      <c r="D22" s="70"/>
      <c r="E22" s="70"/>
      <c r="F22" s="70"/>
      <c r="G22" s="70"/>
      <c r="I22" s="1"/>
    </row>
    <row r="25" spans="2:16" ht="18.75" x14ac:dyDescent="0.3">
      <c r="B25" s="126" t="s">
        <v>1</v>
      </c>
      <c r="C25" s="127"/>
      <c r="D25" s="128"/>
      <c r="E25" s="127"/>
      <c r="F25" s="127"/>
      <c r="G25" s="127"/>
      <c r="H25" s="127"/>
      <c r="I25" s="127"/>
      <c r="J25" s="127"/>
      <c r="K25" s="127"/>
      <c r="L25" s="127"/>
      <c r="M25" s="127"/>
      <c r="N25" s="127"/>
      <c r="O25" s="127"/>
      <c r="P25" s="129"/>
    </row>
    <row r="26" spans="2:16" ht="78" customHeight="1" x14ac:dyDescent="0.25">
      <c r="B26" s="391" t="s">
        <v>291</v>
      </c>
      <c r="C26" s="392"/>
      <c r="D26" s="392"/>
      <c r="E26" s="392"/>
      <c r="F26" s="392"/>
      <c r="G26" s="392"/>
      <c r="H26" s="392"/>
      <c r="I26" s="392"/>
      <c r="J26" s="392"/>
      <c r="K26" s="392"/>
      <c r="L26" s="392"/>
      <c r="M26" s="392"/>
      <c r="N26" s="392"/>
      <c r="O26" s="392"/>
      <c r="P26" s="393"/>
    </row>
    <row r="27" spans="2:16" ht="18.75" x14ac:dyDescent="0.3">
      <c r="B27" s="438" t="s">
        <v>501</v>
      </c>
      <c r="C27" s="27"/>
      <c r="D27" s="27"/>
      <c r="E27" s="27"/>
      <c r="F27" s="27"/>
      <c r="G27" s="27"/>
      <c r="H27" s="27"/>
      <c r="I27" s="27"/>
      <c r="J27" s="27"/>
      <c r="K27" s="27"/>
      <c r="L27" s="27"/>
      <c r="M27" s="27"/>
      <c r="N27" s="27"/>
      <c r="O27" s="27"/>
      <c r="P27" s="130"/>
    </row>
    <row r="28" spans="2:16" ht="11.1" customHeight="1" x14ac:dyDescent="0.25">
      <c r="B28" s="394"/>
      <c r="C28" s="395"/>
      <c r="D28" s="395"/>
      <c r="E28" s="395"/>
      <c r="F28" s="395"/>
      <c r="G28" s="395"/>
      <c r="H28" s="395"/>
      <c r="I28" s="395"/>
      <c r="J28" s="395"/>
      <c r="K28" s="395"/>
      <c r="L28" s="395"/>
      <c r="M28" s="395"/>
      <c r="N28" s="395"/>
      <c r="O28" s="395"/>
      <c r="P28" s="396"/>
    </row>
    <row r="30" spans="2:16" x14ac:dyDescent="0.25">
      <c r="C30" s="287"/>
      <c r="G30" s="1"/>
    </row>
    <row r="31" spans="2:16" x14ac:dyDescent="0.25">
      <c r="C31" s="287"/>
      <c r="G31" s="1"/>
    </row>
    <row r="34" spans="3:3" x14ac:dyDescent="0.25">
      <c r="C34" s="1"/>
    </row>
    <row r="35" spans="3:3" x14ac:dyDescent="0.25">
      <c r="C35" s="1"/>
    </row>
    <row r="36" spans="3:3" x14ac:dyDescent="0.25">
      <c r="C36" s="1"/>
    </row>
    <row r="37" spans="3:3" x14ac:dyDescent="0.25">
      <c r="C37" s="1"/>
    </row>
    <row r="38" spans="3:3" x14ac:dyDescent="0.25">
      <c r="C38" s="131"/>
    </row>
  </sheetData>
  <mergeCells count="2">
    <mergeCell ref="B26:P26"/>
    <mergeCell ref="B28:P28"/>
  </mergeCells>
  <pageMargins left="0.70866141732283472" right="0.70866141732283472" top="0.78740157480314965" bottom="0.78740157480314965" header="0.31496062992125984" footer="0.31496062992125984"/>
  <pageSetup paperSize="9" orientation="portrait" r:id="rId1"/>
  <headerFooter>
    <oddHeader xml:space="preserve">&amp;CÖkoWin-Tool - Berechnungswerkzeug für die Erstellung orientierender Ökobilanzen des Straßenwinterdienstes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B00F-ADA2-4C87-8279-CDE92B388D08}">
  <sheetPr codeName="Einleitung">
    <tabColor theme="5" tint="-0.249977111117893"/>
  </sheetPr>
  <dimension ref="A1:K100"/>
  <sheetViews>
    <sheetView showGridLines="0" zoomScale="80" zoomScaleNormal="80" workbookViewId="0">
      <pane ySplit="5" topLeftCell="A6" activePane="bottomLeft" state="frozen"/>
      <selection activeCell="C25" sqref="C25:G25"/>
      <selection pane="bottomLeft" activeCell="A6" sqref="A6"/>
    </sheetView>
  </sheetViews>
  <sheetFormatPr baseColWidth="10" defaultColWidth="8.85546875" defaultRowHeight="15" x14ac:dyDescent="0.25"/>
  <cols>
    <col min="1" max="2" width="2.42578125" customWidth="1"/>
    <col min="3" max="3" width="15.85546875" customWidth="1"/>
    <col min="4" max="4" width="31.5703125" customWidth="1"/>
    <col min="5" max="5" width="28" customWidth="1"/>
    <col min="6" max="6" width="21.5703125" customWidth="1"/>
    <col min="7" max="7" width="32.5703125" customWidth="1"/>
    <col min="8" max="8" width="84.42578125" customWidth="1"/>
    <col min="9" max="9" width="3" customWidth="1"/>
    <col min="10" max="10" width="4.5703125" customWidth="1"/>
    <col min="11" max="12" width="22.5703125" customWidth="1"/>
  </cols>
  <sheetData>
    <row r="1" spans="1:11" s="2" customFormat="1" x14ac:dyDescent="0.25"/>
    <row r="2" spans="1:11" s="2" customFormat="1" x14ac:dyDescent="0.25"/>
    <row r="3" spans="1:11" s="2" customFormat="1" ht="23.25" x14ac:dyDescent="0.35">
      <c r="D3" s="3"/>
      <c r="E3" s="4"/>
      <c r="F3" s="4"/>
    </row>
    <row r="4" spans="1:11" s="2" customFormat="1" ht="23.25" x14ac:dyDescent="0.35">
      <c r="D4" s="3"/>
      <c r="E4" s="4"/>
      <c r="F4" s="4"/>
    </row>
    <row r="5" spans="1:11" s="5" customFormat="1" ht="15.75" thickBot="1" x14ac:dyDescent="0.3">
      <c r="C5" s="10"/>
    </row>
    <row r="6" spans="1:11" s="18" customFormat="1" ht="6" customHeight="1" x14ac:dyDescent="0.25"/>
    <row r="7" spans="1:11" ht="18.75" x14ac:dyDescent="0.3">
      <c r="A7" s="48"/>
      <c r="B7" s="16"/>
      <c r="C7" s="23" t="s">
        <v>78</v>
      </c>
      <c r="D7" s="17"/>
      <c r="E7" s="17"/>
      <c r="F7" s="17"/>
      <c r="G7" s="17"/>
      <c r="H7" s="17"/>
      <c r="I7" s="17"/>
      <c r="J7" s="13"/>
      <c r="K7" s="1"/>
    </row>
    <row r="8" spans="1:11" ht="61.35" customHeight="1" x14ac:dyDescent="0.25">
      <c r="A8" s="48"/>
      <c r="B8" s="16"/>
      <c r="C8" s="400" t="s">
        <v>485</v>
      </c>
      <c r="D8" s="401"/>
      <c r="E8" s="401"/>
      <c r="F8" s="401"/>
      <c r="G8" s="401"/>
      <c r="H8" s="401"/>
      <c r="I8" s="401"/>
      <c r="J8" s="402"/>
      <c r="K8" s="1"/>
    </row>
    <row r="9" spans="1:11" s="6" customFormat="1" ht="15.75" x14ac:dyDescent="0.25">
      <c r="A9" s="49"/>
      <c r="B9" s="21"/>
      <c r="C9" s="388" t="s">
        <v>487</v>
      </c>
      <c r="D9" s="22"/>
      <c r="E9" s="22"/>
      <c r="F9" s="22"/>
      <c r="G9" s="22"/>
      <c r="H9" s="22"/>
      <c r="I9" s="22"/>
      <c r="J9" s="21"/>
    </row>
    <row r="10" spans="1:11" s="6" customFormat="1" ht="15.75" x14ac:dyDescent="0.25">
      <c r="A10" s="49"/>
      <c r="B10" s="22"/>
      <c r="C10" s="25"/>
      <c r="D10" s="22"/>
      <c r="E10" s="22"/>
      <c r="F10" s="22"/>
      <c r="G10" s="22"/>
      <c r="H10" s="22"/>
      <c r="I10" s="22"/>
      <c r="J10" s="21"/>
    </row>
    <row r="11" spans="1:11" s="6" customFormat="1" ht="18.75" x14ac:dyDescent="0.3">
      <c r="A11" s="50"/>
      <c r="C11" s="71" t="s">
        <v>118</v>
      </c>
      <c r="D11" s="19"/>
      <c r="E11" s="19"/>
      <c r="F11" s="19"/>
      <c r="G11" s="19"/>
      <c r="H11" s="19"/>
      <c r="I11" s="19"/>
      <c r="J11" s="20"/>
    </row>
    <row r="12" spans="1:11" s="6" customFormat="1" ht="47.1" customHeight="1" x14ac:dyDescent="0.25">
      <c r="A12" s="50"/>
      <c r="C12" s="400" t="s">
        <v>486</v>
      </c>
      <c r="D12" s="401"/>
      <c r="E12" s="401"/>
      <c r="F12" s="401"/>
      <c r="G12" s="401"/>
      <c r="H12" s="401"/>
      <c r="I12" s="401"/>
      <c r="J12" s="402"/>
    </row>
    <row r="13" spans="1:11" s="6" customFormat="1" ht="15.75" x14ac:dyDescent="0.25">
      <c r="A13" s="50"/>
      <c r="C13" s="44"/>
      <c r="D13" s="45"/>
      <c r="E13" s="45"/>
      <c r="F13" s="45"/>
      <c r="G13" s="45"/>
      <c r="H13" s="45"/>
      <c r="I13" s="45"/>
      <c r="J13" s="46"/>
    </row>
    <row r="14" spans="1:11" ht="18.75" x14ac:dyDescent="0.3">
      <c r="A14" s="51"/>
      <c r="C14" s="23" t="s">
        <v>2</v>
      </c>
      <c r="D14" s="17"/>
      <c r="E14" s="17"/>
      <c r="F14" s="17"/>
      <c r="G14" s="17"/>
      <c r="H14" s="17"/>
      <c r="I14" s="17"/>
      <c r="J14" s="13"/>
    </row>
    <row r="15" spans="1:11" x14ac:dyDescent="0.25">
      <c r="A15" s="51"/>
      <c r="C15" s="38" t="s">
        <v>42</v>
      </c>
      <c r="D15" s="24"/>
      <c r="E15" s="24"/>
      <c r="F15" s="24"/>
      <c r="G15" s="24"/>
      <c r="H15" s="24"/>
      <c r="I15" s="24"/>
      <c r="J15" s="16"/>
    </row>
    <row r="16" spans="1:11" x14ac:dyDescent="0.25">
      <c r="A16" s="51"/>
      <c r="C16" s="389" t="s">
        <v>488</v>
      </c>
      <c r="D16" s="47"/>
      <c r="E16" s="47"/>
      <c r="F16" s="47"/>
      <c r="G16" s="47"/>
      <c r="H16" s="24"/>
      <c r="I16" s="24"/>
      <c r="J16" s="16"/>
    </row>
    <row r="17" spans="1:11" x14ac:dyDescent="0.25">
      <c r="A17" s="51"/>
      <c r="C17" s="389" t="s">
        <v>247</v>
      </c>
      <c r="D17" s="47"/>
      <c r="E17" s="47"/>
      <c r="F17" s="47"/>
      <c r="G17" s="47"/>
      <c r="H17" s="24"/>
      <c r="I17" s="24"/>
      <c r="J17" s="16"/>
    </row>
    <row r="18" spans="1:11" x14ac:dyDescent="0.25">
      <c r="A18" s="51"/>
      <c r="C18" s="389" t="s">
        <v>412</v>
      </c>
      <c r="D18" s="47"/>
      <c r="E18" s="47"/>
      <c r="F18" s="47"/>
      <c r="G18" s="47"/>
      <c r="H18" s="24"/>
      <c r="I18" s="24"/>
      <c r="J18" s="16"/>
      <c r="K18" s="1"/>
    </row>
    <row r="19" spans="1:11" x14ac:dyDescent="0.25">
      <c r="A19" s="51"/>
      <c r="C19" s="389" t="s">
        <v>413</v>
      </c>
      <c r="D19" s="47"/>
      <c r="E19" s="47"/>
      <c r="F19" s="47"/>
      <c r="G19" s="47"/>
      <c r="H19" s="24"/>
      <c r="I19" s="24"/>
      <c r="J19" s="16"/>
    </row>
    <row r="20" spans="1:11" x14ac:dyDescent="0.25">
      <c r="A20" s="51"/>
      <c r="C20" s="389" t="s">
        <v>489</v>
      </c>
      <c r="D20" s="47"/>
      <c r="E20" s="47"/>
      <c r="F20" s="47"/>
      <c r="G20" s="47"/>
      <c r="H20" s="24"/>
      <c r="I20" s="24"/>
      <c r="J20" s="16"/>
    </row>
    <row r="21" spans="1:11" x14ac:dyDescent="0.25">
      <c r="A21" s="51"/>
      <c r="C21" s="389" t="s">
        <v>119</v>
      </c>
      <c r="D21" s="24"/>
      <c r="E21" s="24"/>
      <c r="F21" s="24"/>
      <c r="G21" s="24"/>
      <c r="H21" s="24"/>
      <c r="I21" s="24"/>
      <c r="J21" s="16"/>
    </row>
    <row r="22" spans="1:11" ht="14.45" customHeight="1" x14ac:dyDescent="0.25">
      <c r="A22" s="51"/>
      <c r="C22" s="12"/>
      <c r="D22" s="15"/>
      <c r="E22" s="15"/>
      <c r="F22" s="15"/>
      <c r="G22" s="15"/>
      <c r="H22" s="15"/>
      <c r="I22" s="15"/>
      <c r="J22" s="11"/>
    </row>
    <row r="23" spans="1:11" ht="14.45" customHeight="1" x14ac:dyDescent="0.3">
      <c r="A23" s="52"/>
      <c r="C23" s="23" t="s">
        <v>414</v>
      </c>
      <c r="D23" s="17"/>
      <c r="E23" s="17"/>
      <c r="F23" s="17"/>
      <c r="G23" s="17"/>
      <c r="H23" s="17"/>
      <c r="I23" s="17"/>
      <c r="J23" s="13"/>
    </row>
    <row r="24" spans="1:11" ht="14.45" customHeight="1" x14ac:dyDescent="0.25">
      <c r="A24" s="52"/>
      <c r="C24" s="389" t="s">
        <v>491</v>
      </c>
      <c r="D24" s="24"/>
      <c r="E24" s="24"/>
      <c r="F24" s="24"/>
      <c r="G24" s="24"/>
      <c r="H24" s="24"/>
      <c r="I24" s="24"/>
      <c r="J24" s="16"/>
    </row>
    <row r="25" spans="1:11" ht="14.45" customHeight="1" x14ac:dyDescent="0.25">
      <c r="A25" s="52"/>
      <c r="C25" s="389" t="s">
        <v>490</v>
      </c>
      <c r="D25" s="24"/>
      <c r="E25" s="24"/>
      <c r="F25" s="24"/>
      <c r="G25" s="24"/>
      <c r="H25" s="24"/>
      <c r="I25" s="24"/>
      <c r="J25" s="16"/>
    </row>
    <row r="26" spans="1:11" ht="14.45" customHeight="1" x14ac:dyDescent="0.25">
      <c r="A26" s="52"/>
      <c r="C26" s="72" t="s">
        <v>121</v>
      </c>
      <c r="D26" s="24"/>
      <c r="E26" s="24"/>
      <c r="F26" s="24"/>
      <c r="G26" s="24"/>
      <c r="H26" s="24"/>
      <c r="I26" s="24"/>
      <c r="J26" s="16"/>
    </row>
    <row r="27" spans="1:11" ht="14.45" customHeight="1" x14ac:dyDescent="0.25">
      <c r="A27" s="52"/>
      <c r="C27" s="14" t="s">
        <v>74</v>
      </c>
      <c r="D27" s="24"/>
      <c r="E27" s="24"/>
      <c r="F27" s="24"/>
      <c r="G27" s="24"/>
      <c r="H27" s="24"/>
      <c r="I27" s="24"/>
      <c r="J27" s="16"/>
    </row>
    <row r="28" spans="1:11" ht="14.45" customHeight="1" x14ac:dyDescent="0.25">
      <c r="A28" s="52"/>
      <c r="C28" s="72" t="s">
        <v>250</v>
      </c>
      <c r="D28" s="24"/>
      <c r="E28" s="24"/>
      <c r="F28" s="24"/>
      <c r="G28" s="24"/>
      <c r="H28" s="124"/>
      <c r="I28" s="24"/>
      <c r="J28" s="16"/>
    </row>
    <row r="29" spans="1:11" ht="14.45" customHeight="1" x14ac:dyDescent="0.25">
      <c r="A29" s="52"/>
      <c r="C29" s="72" t="s">
        <v>120</v>
      </c>
      <c r="D29" s="24"/>
      <c r="E29" s="24"/>
      <c r="F29" s="24"/>
      <c r="G29" s="24"/>
      <c r="H29" s="24"/>
      <c r="I29" s="24"/>
      <c r="J29" s="16"/>
    </row>
    <row r="30" spans="1:11" ht="14.45" customHeight="1" x14ac:dyDescent="0.25">
      <c r="A30" s="52"/>
      <c r="C30" s="14" t="s">
        <v>75</v>
      </c>
      <c r="D30" s="24"/>
      <c r="E30" s="24"/>
      <c r="F30" s="24"/>
      <c r="G30" s="24"/>
      <c r="H30" s="24"/>
      <c r="I30" s="24"/>
      <c r="J30" s="16"/>
    </row>
    <row r="31" spans="1:11" ht="14.45" customHeight="1" x14ac:dyDescent="0.25">
      <c r="A31" s="52"/>
      <c r="C31" s="72" t="s">
        <v>249</v>
      </c>
      <c r="D31" s="24"/>
      <c r="E31" s="24"/>
      <c r="F31" s="24"/>
      <c r="G31" s="24"/>
      <c r="H31" s="24"/>
      <c r="I31" s="24"/>
      <c r="J31" s="16"/>
    </row>
    <row r="32" spans="1:11" ht="14.45" customHeight="1" x14ac:dyDescent="0.25">
      <c r="A32" s="52"/>
      <c r="C32" s="14" t="s">
        <v>248</v>
      </c>
      <c r="D32" s="24"/>
      <c r="E32" s="24"/>
      <c r="F32" s="24"/>
      <c r="G32" s="24"/>
      <c r="H32" s="24"/>
      <c r="I32" s="24"/>
      <c r="J32" s="16"/>
    </row>
    <row r="33" spans="1:10" ht="14.45" customHeight="1" x14ac:dyDescent="0.25">
      <c r="A33" s="52"/>
      <c r="C33" s="14" t="s">
        <v>76</v>
      </c>
      <c r="D33" s="24"/>
      <c r="E33" s="24"/>
      <c r="F33" s="24"/>
      <c r="G33" s="24"/>
      <c r="H33" s="24"/>
      <c r="I33" s="24"/>
      <c r="J33" s="16"/>
    </row>
    <row r="34" spans="1:10" ht="14.45" customHeight="1" x14ac:dyDescent="0.25">
      <c r="A34" s="52"/>
      <c r="C34" s="14" t="s">
        <v>251</v>
      </c>
      <c r="D34" s="24"/>
      <c r="E34" s="24"/>
      <c r="F34" s="24"/>
      <c r="G34" s="24"/>
      <c r="H34" s="24"/>
      <c r="I34" s="24"/>
      <c r="J34" s="16"/>
    </row>
    <row r="35" spans="1:10" ht="14.45" customHeight="1" x14ac:dyDescent="0.25">
      <c r="A35" s="52"/>
      <c r="C35" s="14" t="s">
        <v>252</v>
      </c>
      <c r="D35" s="24"/>
      <c r="E35" s="24"/>
      <c r="F35" s="24"/>
      <c r="G35" s="24"/>
      <c r="H35" s="24"/>
      <c r="I35" s="24"/>
      <c r="J35" s="16"/>
    </row>
    <row r="36" spans="1:10" ht="14.45" customHeight="1" x14ac:dyDescent="0.25">
      <c r="A36" s="52"/>
      <c r="C36" s="72" t="s">
        <v>54</v>
      </c>
      <c r="D36" s="43"/>
      <c r="E36" s="43"/>
      <c r="F36" s="43"/>
      <c r="G36" s="124"/>
      <c r="H36" s="43"/>
      <c r="I36" s="43"/>
      <c r="J36" s="16"/>
    </row>
    <row r="37" spans="1:10" ht="31.35" customHeight="1" x14ac:dyDescent="0.25">
      <c r="A37" s="52"/>
      <c r="C37" s="397" t="s">
        <v>415</v>
      </c>
      <c r="D37" s="398"/>
      <c r="E37" s="398"/>
      <c r="F37" s="398"/>
      <c r="G37" s="398"/>
      <c r="H37" s="398"/>
      <c r="I37" s="398"/>
      <c r="J37" s="16"/>
    </row>
    <row r="38" spans="1:10" ht="14.45" customHeight="1" x14ac:dyDescent="0.25">
      <c r="A38" s="52"/>
      <c r="C38" s="389" t="s">
        <v>492</v>
      </c>
      <c r="D38" s="24"/>
      <c r="E38" s="24"/>
      <c r="F38" s="24"/>
      <c r="G38" s="24"/>
      <c r="H38" s="24"/>
      <c r="I38" s="24"/>
      <c r="J38" s="16"/>
    </row>
    <row r="39" spans="1:10" ht="14.45" customHeight="1" x14ac:dyDescent="0.25">
      <c r="A39" s="52"/>
      <c r="C39" s="72" t="s">
        <v>253</v>
      </c>
      <c r="D39" s="24"/>
      <c r="E39" s="24"/>
      <c r="F39" s="24"/>
      <c r="G39" s="24"/>
      <c r="H39" s="24"/>
      <c r="I39" s="24"/>
      <c r="J39" s="16"/>
    </row>
    <row r="40" spans="1:10" x14ac:dyDescent="0.25">
      <c r="A40" s="52"/>
      <c r="C40" s="73" t="s">
        <v>287</v>
      </c>
      <c r="D40" s="74"/>
      <c r="E40" s="74"/>
      <c r="F40" s="74"/>
      <c r="G40" s="15"/>
      <c r="H40" s="15"/>
      <c r="I40" s="15"/>
      <c r="J40" s="11"/>
    </row>
    <row r="41" spans="1:10" ht="18.600000000000001" customHeight="1" x14ac:dyDescent="0.3">
      <c r="A41" s="53"/>
      <c r="C41" s="37" t="s">
        <v>41</v>
      </c>
      <c r="D41" s="24"/>
      <c r="E41" s="24"/>
      <c r="F41" s="24"/>
      <c r="G41" s="24"/>
      <c r="H41" s="24"/>
      <c r="I41" s="24"/>
      <c r="J41" s="16"/>
    </row>
    <row r="42" spans="1:10" ht="14.45" customHeight="1" x14ac:dyDescent="0.25">
      <c r="A42" s="53"/>
      <c r="C42" s="14"/>
      <c r="D42" s="57" t="s">
        <v>254</v>
      </c>
      <c r="E42" s="24"/>
      <c r="F42" s="24"/>
      <c r="G42" s="24"/>
      <c r="H42" s="24"/>
      <c r="I42" s="24"/>
      <c r="J42" s="16"/>
    </row>
    <row r="43" spans="1:10" ht="14.45" customHeight="1" x14ac:dyDescent="0.25">
      <c r="A43" s="53"/>
      <c r="C43" s="14"/>
      <c r="D43" s="58" t="s">
        <v>41</v>
      </c>
      <c r="E43" s="404" t="s">
        <v>99</v>
      </c>
      <c r="F43" s="404"/>
      <c r="G43" s="404"/>
      <c r="H43" s="404"/>
      <c r="I43" s="24"/>
      <c r="J43" s="16"/>
    </row>
    <row r="44" spans="1:10" ht="16.350000000000001" customHeight="1" x14ac:dyDescent="0.25">
      <c r="A44" s="53"/>
      <c r="C44" s="14"/>
      <c r="D44" s="288" t="s">
        <v>85</v>
      </c>
      <c r="E44" s="403" t="s">
        <v>493</v>
      </c>
      <c r="F44" s="403"/>
      <c r="G44" s="403"/>
      <c r="H44" s="403"/>
      <c r="I44" s="24"/>
      <c r="J44" s="16"/>
    </row>
    <row r="45" spans="1:10" ht="24" customHeight="1" x14ac:dyDescent="0.25">
      <c r="A45" s="53"/>
      <c r="C45" s="14"/>
      <c r="D45" s="288" t="s">
        <v>98</v>
      </c>
      <c r="E45" s="403" t="s">
        <v>416</v>
      </c>
      <c r="F45" s="403"/>
      <c r="G45" s="403"/>
      <c r="H45" s="403"/>
      <c r="I45" s="24"/>
      <c r="J45" s="16"/>
    </row>
    <row r="46" spans="1:10" ht="32.450000000000003" customHeight="1" x14ac:dyDescent="0.25">
      <c r="A46" s="53"/>
      <c r="C46" s="14"/>
      <c r="D46" s="289" t="s">
        <v>130</v>
      </c>
      <c r="E46" s="403" t="s">
        <v>494</v>
      </c>
      <c r="F46" s="403"/>
      <c r="G46" s="403"/>
      <c r="H46" s="403"/>
      <c r="I46" s="24"/>
      <c r="J46" s="16"/>
    </row>
    <row r="47" spans="1:10" ht="14.45" customHeight="1" x14ac:dyDescent="0.25">
      <c r="A47" s="53"/>
      <c r="C47" s="14"/>
      <c r="D47" s="24"/>
      <c r="E47" s="24"/>
      <c r="F47" s="24"/>
      <c r="G47" s="24"/>
      <c r="H47" s="24"/>
      <c r="I47" s="24"/>
      <c r="J47" s="16"/>
    </row>
    <row r="48" spans="1:10" ht="14.45" customHeight="1" x14ac:dyDescent="0.3">
      <c r="A48" s="54"/>
      <c r="C48" s="23" t="s">
        <v>255</v>
      </c>
      <c r="D48" s="17"/>
      <c r="E48" s="17"/>
      <c r="F48" s="17"/>
      <c r="G48" s="17"/>
      <c r="H48" s="17"/>
      <c r="I48" s="17"/>
      <c r="J48" s="13"/>
    </row>
    <row r="49" spans="1:10" ht="14.45" customHeight="1" x14ac:dyDescent="0.25">
      <c r="A49" s="54"/>
      <c r="C49" s="14"/>
      <c r="D49" s="24"/>
      <c r="E49" s="24"/>
      <c r="F49" s="24"/>
      <c r="G49" s="24"/>
      <c r="H49" s="24"/>
      <c r="I49" s="24"/>
      <c r="J49" s="16"/>
    </row>
    <row r="50" spans="1:10" ht="14.45" customHeight="1" x14ac:dyDescent="0.25">
      <c r="A50" s="54"/>
      <c r="C50" s="14"/>
      <c r="D50" s="36" t="s">
        <v>417</v>
      </c>
      <c r="E50" s="36" t="s">
        <v>418</v>
      </c>
      <c r="F50" s="36" t="s">
        <v>20</v>
      </c>
      <c r="G50" s="36" t="s">
        <v>419</v>
      </c>
      <c r="H50" s="36" t="s">
        <v>129</v>
      </c>
      <c r="I50" s="24"/>
      <c r="J50" s="16"/>
    </row>
    <row r="51" spans="1:10" ht="41.1" customHeight="1" x14ac:dyDescent="0.25">
      <c r="A51" s="54"/>
      <c r="C51" s="14"/>
      <c r="D51" s="39" t="s">
        <v>123</v>
      </c>
      <c r="E51" s="39" t="s">
        <v>50</v>
      </c>
      <c r="F51" s="40" t="s">
        <v>21</v>
      </c>
      <c r="G51" s="40" t="s">
        <v>22</v>
      </c>
      <c r="H51" s="75" t="s">
        <v>420</v>
      </c>
      <c r="I51" s="24"/>
      <c r="J51" s="16"/>
    </row>
    <row r="52" spans="1:10" ht="46.35" customHeight="1" x14ac:dyDescent="0.25">
      <c r="A52" s="54"/>
      <c r="C52" s="14"/>
      <c r="D52" s="39" t="s">
        <v>124</v>
      </c>
      <c r="E52" s="39" t="s">
        <v>45</v>
      </c>
      <c r="F52" s="40" t="s">
        <v>43</v>
      </c>
      <c r="G52" s="40" t="s">
        <v>24</v>
      </c>
      <c r="H52" s="75" t="s">
        <v>421</v>
      </c>
      <c r="I52" s="24"/>
      <c r="J52" s="16"/>
    </row>
    <row r="53" spans="1:10" ht="25.35" customHeight="1" x14ac:dyDescent="0.25">
      <c r="A53" s="54"/>
      <c r="C53" s="14"/>
      <c r="D53" s="39" t="s">
        <v>125</v>
      </c>
      <c r="E53" s="39" t="s">
        <v>127</v>
      </c>
      <c r="F53" s="40" t="s">
        <v>44</v>
      </c>
      <c r="G53" s="40" t="s">
        <v>25</v>
      </c>
      <c r="H53" s="75" t="s">
        <v>228</v>
      </c>
      <c r="I53" s="24"/>
      <c r="J53" s="16"/>
    </row>
    <row r="54" spans="1:10" ht="40.35" customHeight="1" x14ac:dyDescent="0.25">
      <c r="A54" s="54"/>
      <c r="C54" s="14"/>
      <c r="D54" s="39" t="s">
        <v>26</v>
      </c>
      <c r="E54" s="39" t="s">
        <v>46</v>
      </c>
      <c r="F54" s="40" t="s">
        <v>47</v>
      </c>
      <c r="G54" s="40" t="s">
        <v>27</v>
      </c>
      <c r="H54" s="75" t="s">
        <v>422</v>
      </c>
      <c r="I54" s="24"/>
      <c r="J54" s="16"/>
    </row>
    <row r="55" spans="1:10" ht="27" customHeight="1" x14ac:dyDescent="0.25">
      <c r="A55" s="54"/>
      <c r="C55" s="14"/>
      <c r="D55" s="40" t="s">
        <v>126</v>
      </c>
      <c r="E55" s="39" t="s">
        <v>128</v>
      </c>
      <c r="F55" s="40" t="s">
        <v>48</v>
      </c>
      <c r="G55" s="40" t="s">
        <v>28</v>
      </c>
      <c r="H55" s="75" t="s">
        <v>423</v>
      </c>
      <c r="I55" s="24"/>
      <c r="J55" s="16"/>
    </row>
    <row r="56" spans="1:10" ht="14.45" customHeight="1" x14ac:dyDescent="0.25">
      <c r="A56" s="54"/>
      <c r="C56" s="12"/>
      <c r="D56" s="15"/>
      <c r="E56" s="15"/>
      <c r="F56" s="15"/>
      <c r="G56" s="15"/>
      <c r="H56" s="15"/>
      <c r="I56" s="15"/>
      <c r="J56" s="11"/>
    </row>
    <row r="57" spans="1:10" ht="14.45" customHeight="1" x14ac:dyDescent="0.3">
      <c r="A57" s="55"/>
      <c r="C57" s="71" t="s">
        <v>246</v>
      </c>
      <c r="D57" s="17"/>
      <c r="E57" s="17"/>
      <c r="F57" s="17"/>
      <c r="G57" s="17"/>
      <c r="H57" s="17"/>
      <c r="I57" s="17"/>
      <c r="J57" s="13"/>
    </row>
    <row r="58" spans="1:10" ht="43.35" customHeight="1" x14ac:dyDescent="0.25">
      <c r="A58" s="55"/>
      <c r="C58" s="397" t="s">
        <v>424</v>
      </c>
      <c r="D58" s="398"/>
      <c r="E58" s="398"/>
      <c r="F58" s="398"/>
      <c r="G58" s="398"/>
      <c r="H58" s="398"/>
      <c r="I58" s="398"/>
      <c r="J58" s="399"/>
    </row>
    <row r="59" spans="1:10" ht="22.35" customHeight="1" x14ac:dyDescent="0.25">
      <c r="A59" s="55"/>
      <c r="C59" s="14"/>
      <c r="E59" s="42" t="s">
        <v>425</v>
      </c>
      <c r="G59" s="41"/>
      <c r="H59" s="41"/>
      <c r="I59" s="24"/>
      <c r="J59" s="16"/>
    </row>
    <row r="60" spans="1:10" ht="10.35" customHeight="1" x14ac:dyDescent="0.25">
      <c r="A60" s="55"/>
      <c r="C60" s="12"/>
      <c r="D60" s="15"/>
      <c r="E60" s="15"/>
      <c r="F60" s="15"/>
      <c r="G60" s="15"/>
      <c r="H60" s="15"/>
      <c r="I60" s="15"/>
      <c r="J60" s="11"/>
    </row>
    <row r="61" spans="1:10" ht="14.45" customHeight="1" x14ac:dyDescent="0.3">
      <c r="A61" s="56"/>
      <c r="C61" s="71" t="s">
        <v>256</v>
      </c>
      <c r="D61" s="28"/>
      <c r="E61" s="28"/>
      <c r="F61" s="28"/>
      <c r="G61" s="28"/>
      <c r="H61" s="28"/>
      <c r="I61" s="28"/>
      <c r="J61" s="13"/>
    </row>
    <row r="62" spans="1:10" ht="14.45" customHeight="1" x14ac:dyDescent="0.3">
      <c r="A62" s="56"/>
      <c r="C62" s="29"/>
      <c r="D62" s="27"/>
      <c r="E62" s="27"/>
      <c r="F62" s="27"/>
      <c r="G62" s="27"/>
      <c r="H62" s="27"/>
      <c r="I62" s="27"/>
      <c r="J62" s="16"/>
    </row>
    <row r="63" spans="1:10" ht="14.45" customHeight="1" x14ac:dyDescent="0.25">
      <c r="A63" s="56"/>
      <c r="C63" s="30"/>
      <c r="D63" s="43" t="s">
        <v>122</v>
      </c>
      <c r="E63" s="24"/>
      <c r="F63" s="24"/>
      <c r="H63" s="24"/>
      <c r="I63" s="24"/>
      <c r="J63" s="16"/>
    </row>
    <row r="64" spans="1:10" ht="14.45" customHeight="1" x14ac:dyDescent="0.25">
      <c r="A64" s="56"/>
      <c r="C64" s="31"/>
      <c r="D64" s="24"/>
      <c r="E64" s="24"/>
      <c r="F64" s="24"/>
      <c r="H64" s="24"/>
      <c r="I64" s="24"/>
      <c r="J64" s="16"/>
    </row>
    <row r="65" spans="1:10" ht="14.45" customHeight="1" x14ac:dyDescent="0.25">
      <c r="A65" s="56"/>
      <c r="C65" s="32"/>
      <c r="D65" s="76" t="s">
        <v>426</v>
      </c>
      <c r="E65" s="24"/>
      <c r="F65" s="24"/>
      <c r="H65" s="24"/>
      <c r="I65" s="24"/>
      <c r="J65" s="16"/>
    </row>
    <row r="66" spans="1:10" ht="14.45" customHeight="1" x14ac:dyDescent="0.25">
      <c r="A66" s="56"/>
      <c r="C66" s="31"/>
      <c r="D66" s="26"/>
      <c r="E66" s="24"/>
      <c r="F66" s="24"/>
      <c r="H66" s="24"/>
      <c r="I66" s="24"/>
      <c r="J66" s="16"/>
    </row>
    <row r="67" spans="1:10" ht="14.45" customHeight="1" x14ac:dyDescent="0.25">
      <c r="A67" s="56"/>
      <c r="C67" s="33"/>
      <c r="D67" s="76" t="s">
        <v>427</v>
      </c>
      <c r="E67" s="24"/>
      <c r="F67" s="24"/>
      <c r="H67" s="24"/>
      <c r="I67" s="24"/>
      <c r="J67" s="16"/>
    </row>
    <row r="68" spans="1:10" ht="14.45" customHeight="1" x14ac:dyDescent="0.3">
      <c r="A68" s="56"/>
      <c r="C68" s="29"/>
      <c r="D68" s="24"/>
      <c r="E68" s="24"/>
      <c r="F68" s="24"/>
      <c r="H68" s="24"/>
      <c r="I68" s="24"/>
      <c r="J68" s="16"/>
    </row>
    <row r="69" spans="1:10" ht="14.45" customHeight="1" x14ac:dyDescent="0.25">
      <c r="A69" s="56"/>
      <c r="C69" s="290"/>
      <c r="D69" s="43" t="s">
        <v>428</v>
      </c>
      <c r="E69" s="69"/>
      <c r="H69" s="24"/>
      <c r="I69" s="24"/>
      <c r="J69" s="16"/>
    </row>
    <row r="70" spans="1:10" ht="14.45" customHeight="1" x14ac:dyDescent="0.25">
      <c r="A70" s="56"/>
      <c r="C70" s="31"/>
      <c r="D70" s="24"/>
      <c r="H70" s="24"/>
      <c r="I70" s="24"/>
      <c r="J70" s="16"/>
    </row>
    <row r="71" spans="1:10" ht="14.45" customHeight="1" x14ac:dyDescent="0.3">
      <c r="A71" s="56"/>
      <c r="C71" s="125" t="s">
        <v>3</v>
      </c>
      <c r="D71" s="28"/>
      <c r="E71" s="77"/>
      <c r="F71" s="28"/>
      <c r="G71" s="28"/>
      <c r="H71" s="28"/>
      <c r="I71" s="28"/>
      <c r="J71" s="34"/>
    </row>
    <row r="72" spans="1:10" ht="14.45" customHeight="1" x14ac:dyDescent="0.3">
      <c r="A72" s="56"/>
      <c r="C72" s="14" t="s">
        <v>44</v>
      </c>
      <c r="D72" s="43" t="s">
        <v>125</v>
      </c>
      <c r="E72" s="26"/>
      <c r="F72" s="24"/>
      <c r="G72" s="24"/>
      <c r="H72" s="24"/>
      <c r="I72" s="27"/>
      <c r="J72" s="35"/>
    </row>
    <row r="73" spans="1:10" ht="14.45" customHeight="1" x14ac:dyDescent="0.3">
      <c r="A73" s="56"/>
      <c r="C73" s="14" t="s">
        <v>134</v>
      </c>
      <c r="D73" s="24" t="s">
        <v>135</v>
      </c>
      <c r="E73" s="24"/>
      <c r="F73" s="24"/>
      <c r="G73" s="24"/>
      <c r="H73" s="24"/>
      <c r="I73" s="27"/>
      <c r="J73" s="35"/>
    </row>
    <row r="74" spans="1:10" ht="14.45" customHeight="1" x14ac:dyDescent="0.35">
      <c r="A74" s="56"/>
      <c r="C74" s="14" t="s">
        <v>429</v>
      </c>
      <c r="D74" s="24" t="s">
        <v>11</v>
      </c>
      <c r="E74" s="24"/>
      <c r="F74" s="24"/>
      <c r="G74" s="24"/>
      <c r="H74" s="24"/>
      <c r="I74" s="27"/>
      <c r="J74" s="35"/>
    </row>
    <row r="75" spans="1:10" ht="14.45" customHeight="1" x14ac:dyDescent="0.3">
      <c r="A75" s="56"/>
      <c r="C75" s="14" t="s">
        <v>4</v>
      </c>
      <c r="D75" s="24" t="s">
        <v>5</v>
      </c>
      <c r="E75" s="24"/>
      <c r="F75" s="24"/>
      <c r="G75" s="24"/>
      <c r="H75" s="24"/>
      <c r="I75" s="27"/>
      <c r="J75" s="35"/>
    </row>
    <row r="76" spans="1:10" ht="14.45" customHeight="1" x14ac:dyDescent="0.3">
      <c r="A76" s="56"/>
      <c r="C76" s="14" t="s">
        <v>55</v>
      </c>
      <c r="D76" s="43" t="s">
        <v>56</v>
      </c>
      <c r="E76" s="24"/>
      <c r="F76" s="24"/>
      <c r="G76" s="24"/>
      <c r="H76" s="24"/>
      <c r="I76" s="27"/>
      <c r="J76" s="35"/>
    </row>
    <row r="77" spans="1:10" ht="14.45" customHeight="1" x14ac:dyDescent="0.3">
      <c r="A77" s="56"/>
      <c r="C77" s="14" t="s">
        <v>7</v>
      </c>
      <c r="D77" s="24" t="s">
        <v>8</v>
      </c>
      <c r="E77" s="24"/>
      <c r="F77" s="24"/>
      <c r="G77" s="24"/>
      <c r="H77" s="24"/>
      <c r="I77" s="27"/>
      <c r="J77" s="35"/>
    </row>
    <row r="78" spans="1:10" ht="14.45" customHeight="1" x14ac:dyDescent="0.3">
      <c r="A78" s="56"/>
      <c r="C78" s="14" t="s">
        <v>6</v>
      </c>
      <c r="D78" s="43" t="s">
        <v>178</v>
      </c>
      <c r="E78" s="24"/>
      <c r="F78" s="24"/>
      <c r="G78" s="24"/>
      <c r="H78" s="24"/>
      <c r="I78" s="27"/>
      <c r="J78" s="35"/>
    </row>
    <row r="79" spans="1:10" ht="14.45" customHeight="1" x14ac:dyDescent="0.3">
      <c r="A79" s="56"/>
      <c r="C79" s="14" t="s">
        <v>225</v>
      </c>
      <c r="D79" s="43" t="s">
        <v>226</v>
      </c>
      <c r="E79" s="27"/>
      <c r="F79" s="27"/>
      <c r="G79" s="27"/>
      <c r="H79" s="27"/>
      <c r="I79" s="27"/>
      <c r="J79" s="35"/>
    </row>
    <row r="80" spans="1:10" ht="14.45" customHeight="1" x14ac:dyDescent="0.25">
      <c r="A80" s="56"/>
      <c r="C80" s="14" t="s">
        <v>21</v>
      </c>
      <c r="D80" s="43" t="s">
        <v>123</v>
      </c>
      <c r="E80" s="24"/>
      <c r="F80" s="24"/>
      <c r="G80" s="24"/>
      <c r="H80" s="24"/>
      <c r="I80" s="24"/>
      <c r="J80" s="16"/>
    </row>
    <row r="81" spans="1:10" ht="14.45" customHeight="1" x14ac:dyDescent="0.25">
      <c r="A81" s="56"/>
      <c r="C81" s="14" t="s">
        <v>12</v>
      </c>
      <c r="D81" s="24" t="s">
        <v>13</v>
      </c>
      <c r="E81" s="24"/>
      <c r="F81" s="24"/>
      <c r="G81" s="24"/>
      <c r="H81" s="24"/>
      <c r="I81" s="24"/>
      <c r="J81" s="16"/>
    </row>
    <row r="82" spans="1:10" ht="14.45" customHeight="1" x14ac:dyDescent="0.25">
      <c r="A82" s="56"/>
      <c r="C82" s="14" t="s">
        <v>15</v>
      </c>
      <c r="D82" s="43" t="s">
        <v>77</v>
      </c>
      <c r="E82" s="24"/>
      <c r="F82" s="24"/>
      <c r="G82" s="24"/>
      <c r="H82" s="24"/>
      <c r="I82" s="24"/>
      <c r="J82" s="16"/>
    </row>
    <row r="83" spans="1:10" ht="14.45" customHeight="1" x14ac:dyDescent="0.25">
      <c r="A83" s="56"/>
      <c r="C83" s="14" t="s">
        <v>47</v>
      </c>
      <c r="D83" s="43" t="s">
        <v>26</v>
      </c>
      <c r="E83" s="24"/>
      <c r="F83" s="24"/>
      <c r="G83" s="24"/>
      <c r="H83" s="24"/>
      <c r="I83" s="24"/>
      <c r="J83" s="16"/>
    </row>
    <row r="84" spans="1:10" ht="14.45" customHeight="1" x14ac:dyDescent="0.25">
      <c r="A84" s="56"/>
      <c r="C84" s="14" t="s">
        <v>16</v>
      </c>
      <c r="D84" s="24" t="s">
        <v>17</v>
      </c>
      <c r="E84" s="24"/>
      <c r="F84" s="24"/>
      <c r="G84" s="24"/>
      <c r="H84" s="24"/>
      <c r="I84" s="24"/>
      <c r="J84" s="16"/>
    </row>
    <row r="85" spans="1:10" ht="14.45" customHeight="1" x14ac:dyDescent="0.25">
      <c r="A85" s="56"/>
      <c r="C85" s="14" t="s">
        <v>49</v>
      </c>
      <c r="D85" s="43" t="s">
        <v>29</v>
      </c>
      <c r="E85" s="24"/>
      <c r="F85" s="24"/>
      <c r="G85" s="24"/>
      <c r="H85" s="24"/>
      <c r="I85" s="24"/>
      <c r="J85" s="16"/>
    </row>
    <row r="86" spans="1:10" ht="14.45" customHeight="1" x14ac:dyDescent="0.25">
      <c r="A86" s="56"/>
      <c r="C86" s="14" t="s">
        <v>48</v>
      </c>
      <c r="D86" s="43" t="s">
        <v>126</v>
      </c>
      <c r="E86" s="24"/>
      <c r="F86" s="24"/>
      <c r="G86" s="24"/>
      <c r="H86" s="24"/>
      <c r="I86" s="24"/>
      <c r="J86" s="16"/>
    </row>
    <row r="87" spans="1:10" ht="14.45" customHeight="1" x14ac:dyDescent="0.25">
      <c r="A87" s="56"/>
      <c r="C87" s="14" t="s">
        <v>136</v>
      </c>
      <c r="D87" s="24" t="s">
        <v>137</v>
      </c>
      <c r="E87" s="24"/>
      <c r="F87" s="24"/>
      <c r="G87" s="24"/>
      <c r="H87" s="24"/>
      <c r="I87" s="24"/>
      <c r="J87" s="16"/>
    </row>
    <row r="88" spans="1:10" ht="14.45" customHeight="1" x14ac:dyDescent="0.25">
      <c r="A88" s="56"/>
      <c r="C88" s="14" t="s">
        <v>14</v>
      </c>
      <c r="D88" s="43" t="s">
        <v>131</v>
      </c>
      <c r="E88" s="24"/>
      <c r="F88" s="24"/>
      <c r="G88" s="24"/>
      <c r="H88" s="24"/>
      <c r="I88" s="24"/>
      <c r="J88" s="16"/>
    </row>
    <row r="89" spans="1:10" ht="14.45" customHeight="1" x14ac:dyDescent="0.25">
      <c r="A89" s="56"/>
      <c r="C89" s="14" t="s">
        <v>9</v>
      </c>
      <c r="D89" s="24" t="s">
        <v>10</v>
      </c>
      <c r="E89" s="24"/>
      <c r="F89" s="24"/>
      <c r="G89" s="24"/>
      <c r="H89" s="24"/>
      <c r="I89" s="24"/>
      <c r="J89" s="16"/>
    </row>
    <row r="90" spans="1:10" ht="14.45" customHeight="1" x14ac:dyDescent="0.25">
      <c r="A90" s="56"/>
      <c r="C90" s="12" t="s">
        <v>18</v>
      </c>
      <c r="D90" s="15" t="s">
        <v>70</v>
      </c>
      <c r="E90" s="15"/>
      <c r="F90" s="15"/>
      <c r="G90" s="15"/>
      <c r="H90" s="15"/>
      <c r="I90" s="15"/>
      <c r="J90" s="11"/>
    </row>
    <row r="91" spans="1:10" ht="14.45" customHeight="1" x14ac:dyDescent="0.25"/>
    <row r="92" spans="1:10" ht="14.45" customHeight="1" x14ac:dyDescent="0.25"/>
    <row r="93" spans="1:10" ht="14.45" customHeight="1" x14ac:dyDescent="0.25"/>
    <row r="94" spans="1:10" ht="14.45" customHeight="1" x14ac:dyDescent="0.25"/>
    <row r="95" spans="1:10" ht="14.45" customHeight="1" x14ac:dyDescent="0.25"/>
    <row r="96" spans="1:10" ht="14.45" customHeight="1" x14ac:dyDescent="0.25"/>
    <row r="97" ht="14.45" customHeight="1" x14ac:dyDescent="0.25"/>
    <row r="98" ht="14.45" customHeight="1" x14ac:dyDescent="0.25"/>
    <row r="99" ht="14.45" customHeight="1" x14ac:dyDescent="0.25"/>
    <row r="100" ht="14.45" customHeight="1" x14ac:dyDescent="0.25"/>
  </sheetData>
  <sheetProtection algorithmName="SHA-512" hashValue="Bymx3pT90VJjtGaca/eStn84+Mch3fW0nwSeBxJeMTS+XAgsx8zxNZDmApvhFaojuptpdL0UBgM/6wAg3YLlSQ==" saltValue="EHxQ+9isMFxa84QIEiwWkg==" spinCount="100000" sheet="1" objects="1" scenarios="1"/>
  <sortState ref="C72:D90">
    <sortCondition ref="C72:C90"/>
  </sortState>
  <mergeCells count="8">
    <mergeCell ref="C58:J58"/>
    <mergeCell ref="C37:I37"/>
    <mergeCell ref="C8:J8"/>
    <mergeCell ref="C12:J12"/>
    <mergeCell ref="E44:H44"/>
    <mergeCell ref="E45:H45"/>
    <mergeCell ref="E46:H46"/>
    <mergeCell ref="E43:H4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B369-71B5-45A5-9A1F-36F59EA01675}">
  <sheetPr codeName="Untersuchungsrahmen">
    <tabColor theme="5" tint="0.39997558519241921"/>
  </sheetPr>
  <dimension ref="A5:G63"/>
  <sheetViews>
    <sheetView showGridLines="0" zoomScale="80" zoomScaleNormal="80" workbookViewId="0">
      <pane ySplit="7" topLeftCell="A8" activePane="bottomLeft" state="frozen"/>
      <selection activeCell="C25" sqref="C25:G25"/>
      <selection pane="bottomLeft" activeCell="D14" sqref="D14:F14"/>
    </sheetView>
  </sheetViews>
  <sheetFormatPr baseColWidth="10" defaultColWidth="8.85546875" defaultRowHeight="15" x14ac:dyDescent="0.25"/>
  <cols>
    <col min="1" max="2" width="2.42578125" style="132" customWidth="1"/>
    <col min="3" max="3" width="29.42578125" style="132" customWidth="1"/>
    <col min="4" max="4" width="29.5703125" style="132" customWidth="1"/>
    <col min="5" max="5" width="33.42578125" style="132" customWidth="1"/>
    <col min="6" max="6" width="50.140625" style="132" customWidth="1"/>
    <col min="7" max="7" width="34.85546875" style="132" customWidth="1"/>
    <col min="8" max="8" width="23.42578125" style="132" customWidth="1"/>
    <col min="9" max="9" width="14.5703125" style="132" customWidth="1"/>
    <col min="10" max="11" width="8.85546875" style="132"/>
    <col min="12" max="12" width="23.42578125" style="132" customWidth="1"/>
    <col min="13" max="16384" width="8.85546875" style="132"/>
  </cols>
  <sheetData>
    <row r="5" spans="1:6" ht="17.45" customHeight="1" x14ac:dyDescent="0.25"/>
    <row r="6" spans="1:6" ht="5.45" customHeight="1" x14ac:dyDescent="0.25"/>
    <row r="7" spans="1:6" s="133" customFormat="1" ht="5.45" customHeight="1" thickBot="1" x14ac:dyDescent="0.3"/>
    <row r="8" spans="1:6" s="134" customFormat="1" ht="6" customHeight="1" x14ac:dyDescent="0.25"/>
    <row r="9" spans="1:6" ht="21" x14ac:dyDescent="0.35">
      <c r="A9" s="135"/>
      <c r="C9" s="136" t="s">
        <v>435</v>
      </c>
    </row>
    <row r="10" spans="1:6" x14ac:dyDescent="0.25">
      <c r="A10" s="135"/>
    </row>
    <row r="11" spans="1:6" x14ac:dyDescent="0.25">
      <c r="A11" s="135"/>
      <c r="C11" s="137" t="s">
        <v>430</v>
      </c>
      <c r="D11" s="406"/>
      <c r="E11" s="406"/>
      <c r="F11" s="406"/>
    </row>
    <row r="12" spans="1:6" x14ac:dyDescent="0.25">
      <c r="A12" s="135"/>
      <c r="C12" s="137" t="s">
        <v>84</v>
      </c>
      <c r="D12" s="406"/>
      <c r="E12" s="406"/>
      <c r="F12" s="406"/>
    </row>
    <row r="13" spans="1:6" x14ac:dyDescent="0.25">
      <c r="A13" s="135"/>
      <c r="C13" s="137" t="s">
        <v>431</v>
      </c>
      <c r="D13" s="406"/>
      <c r="E13" s="406"/>
      <c r="F13" s="406"/>
    </row>
    <row r="14" spans="1:6" x14ac:dyDescent="0.25">
      <c r="A14" s="135"/>
      <c r="C14" s="137" t="s">
        <v>432</v>
      </c>
      <c r="D14" s="406"/>
      <c r="E14" s="406"/>
      <c r="F14" s="406"/>
    </row>
    <row r="15" spans="1:6" x14ac:dyDescent="0.25">
      <c r="A15" s="135"/>
      <c r="C15" s="137" t="s">
        <v>433</v>
      </c>
      <c r="D15" s="406"/>
      <c r="E15" s="406"/>
      <c r="F15" s="406"/>
    </row>
    <row r="16" spans="1:6" x14ac:dyDescent="0.25">
      <c r="A16" s="135"/>
      <c r="C16" s="137" t="s">
        <v>434</v>
      </c>
      <c r="D16" s="405">
        <v>45261</v>
      </c>
      <c r="E16" s="406"/>
      <c r="F16" s="406"/>
    </row>
    <row r="17" spans="1:7" x14ac:dyDescent="0.25">
      <c r="A17" s="135"/>
      <c r="C17" s="138"/>
      <c r="D17" s="138"/>
      <c r="E17" s="138"/>
      <c r="F17" s="138"/>
    </row>
    <row r="18" spans="1:7" s="134" customFormat="1" ht="6" customHeight="1" x14ac:dyDescent="0.25"/>
    <row r="19" spans="1:7" ht="21" x14ac:dyDescent="0.35">
      <c r="A19" s="139"/>
      <c r="C19" s="136" t="s">
        <v>436</v>
      </c>
    </row>
    <row r="20" spans="1:7" ht="30" customHeight="1" x14ac:dyDescent="0.25">
      <c r="A20" s="139"/>
      <c r="C20" s="407" t="s">
        <v>142</v>
      </c>
      <c r="D20" s="407"/>
      <c r="E20" s="407"/>
      <c r="F20" s="407"/>
      <c r="G20" s="407"/>
    </row>
    <row r="21" spans="1:7" ht="32.1" customHeight="1" x14ac:dyDescent="0.25">
      <c r="A21" s="139"/>
      <c r="C21" s="407" t="s">
        <v>258</v>
      </c>
      <c r="D21" s="407"/>
      <c r="E21" s="407"/>
      <c r="F21" s="407"/>
      <c r="G21" s="407"/>
    </row>
    <row r="22" spans="1:7" ht="5.0999999999999996" customHeight="1" x14ac:dyDescent="0.25">
      <c r="A22" s="139"/>
      <c r="C22" s="140"/>
    </row>
    <row r="23" spans="1:7" x14ac:dyDescent="0.25">
      <c r="A23" s="139"/>
      <c r="C23" s="141" t="s">
        <v>143</v>
      </c>
    </row>
    <row r="24" spans="1:7" x14ac:dyDescent="0.25">
      <c r="A24" s="139"/>
      <c r="C24" s="140" t="s">
        <v>191</v>
      </c>
    </row>
    <row r="25" spans="1:7" ht="29.1" customHeight="1" x14ac:dyDescent="0.25">
      <c r="A25" s="139"/>
      <c r="C25" s="407" t="s">
        <v>259</v>
      </c>
      <c r="D25" s="407"/>
      <c r="E25" s="407"/>
      <c r="F25" s="407"/>
      <c r="G25" s="407"/>
    </row>
    <row r="26" spans="1:7" ht="32.1" customHeight="1" x14ac:dyDescent="0.25">
      <c r="A26" s="139"/>
      <c r="C26" s="407" t="s">
        <v>192</v>
      </c>
      <c r="D26" s="407"/>
      <c r="E26" s="407"/>
      <c r="F26" s="407"/>
      <c r="G26" s="407"/>
    </row>
    <row r="27" spans="1:7" x14ac:dyDescent="0.25">
      <c r="A27" s="139"/>
      <c r="C27" s="142"/>
    </row>
    <row r="28" spans="1:7" x14ac:dyDescent="0.25">
      <c r="A28" s="139"/>
      <c r="C28" s="143" t="s">
        <v>65</v>
      </c>
      <c r="D28" s="144" t="s">
        <v>64</v>
      </c>
      <c r="E28" s="145" t="s">
        <v>68</v>
      </c>
      <c r="F28" s="144" t="s">
        <v>66</v>
      </c>
      <c r="G28" s="144" t="s">
        <v>133</v>
      </c>
    </row>
    <row r="29" spans="1:7" x14ac:dyDescent="0.25">
      <c r="A29" s="139"/>
      <c r="C29" s="311" t="s">
        <v>132</v>
      </c>
      <c r="D29" s="154"/>
      <c r="E29" s="60" t="s">
        <v>215</v>
      </c>
      <c r="F29" s="155">
        <v>1</v>
      </c>
      <c r="G29" s="307">
        <f>D29*F29</f>
        <v>0</v>
      </c>
    </row>
    <row r="30" spans="1:7" x14ac:dyDescent="0.25">
      <c r="A30" s="139"/>
      <c r="C30" s="311" t="s">
        <v>61</v>
      </c>
      <c r="D30" s="154"/>
      <c r="E30" s="60" t="s">
        <v>215</v>
      </c>
      <c r="F30" s="155">
        <v>0.8</v>
      </c>
      <c r="G30" s="307">
        <f>D30*F30</f>
        <v>0</v>
      </c>
    </row>
    <row r="31" spans="1:7" x14ac:dyDescent="0.25">
      <c r="A31" s="139"/>
      <c r="C31" s="311" t="s">
        <v>62</v>
      </c>
      <c r="D31" s="154"/>
      <c r="E31" s="60" t="s">
        <v>215</v>
      </c>
      <c r="F31" s="156">
        <v>0.67</v>
      </c>
      <c r="G31" s="307">
        <f>D31*F31</f>
        <v>0</v>
      </c>
    </row>
    <row r="32" spans="1:7" x14ac:dyDescent="0.25">
      <c r="A32" s="139"/>
      <c r="C32" s="310" t="s">
        <v>63</v>
      </c>
      <c r="D32" s="157"/>
      <c r="E32" s="158" t="s">
        <v>215</v>
      </c>
      <c r="F32" s="159">
        <v>0.67</v>
      </c>
      <c r="G32" s="308">
        <f>D32*F32</f>
        <v>0</v>
      </c>
    </row>
    <row r="33" spans="1:7" x14ac:dyDescent="0.25">
      <c r="A33" s="139"/>
      <c r="C33" s="310" t="s">
        <v>32</v>
      </c>
      <c r="D33" s="310"/>
      <c r="E33" s="310"/>
      <c r="F33" s="310"/>
      <c r="G33" s="309">
        <f>SUBTOTAL(109,Streuflaeche[Bewertete Streufläche bSF  '[m²'] ])</f>
        <v>0</v>
      </c>
    </row>
    <row r="34" spans="1:7" x14ac:dyDescent="0.25">
      <c r="A34" s="139"/>
      <c r="C34" s="146"/>
    </row>
    <row r="35" spans="1:7" x14ac:dyDescent="0.25">
      <c r="A35" s="139"/>
      <c r="C35" s="411" t="str">
        <f>"Die räumliche Komponente der funktionellen Einheit dieser Ökobilanz ist  "&amp;Streuflaeche[[#Totals],[Bewertete Streufläche bSF  '[m²'] ]]&amp;" m² bewertete Streufläche."</f>
        <v>Die räumliche Komponente der funktionellen Einheit dieser Ökobilanz ist  0 m² bewertete Streufläche.</v>
      </c>
      <c r="D35" s="412"/>
      <c r="E35" s="412"/>
      <c r="F35" s="413"/>
    </row>
    <row r="36" spans="1:7" x14ac:dyDescent="0.25">
      <c r="A36" s="139"/>
    </row>
    <row r="37" spans="1:7" s="134" customFormat="1" ht="6" customHeight="1" x14ac:dyDescent="0.25"/>
    <row r="38" spans="1:7" ht="21" x14ac:dyDescent="0.35">
      <c r="A38" s="147"/>
      <c r="C38" s="136" t="s">
        <v>184</v>
      </c>
    </row>
    <row r="39" spans="1:7" x14ac:dyDescent="0.25">
      <c r="A39" s="147"/>
      <c r="C39" s="140" t="s">
        <v>437</v>
      </c>
    </row>
    <row r="40" spans="1:7" x14ac:dyDescent="0.25">
      <c r="A40" s="147"/>
      <c r="C40" s="140" t="s">
        <v>260</v>
      </c>
    </row>
    <row r="41" spans="1:7" x14ac:dyDescent="0.25">
      <c r="A41" s="147"/>
      <c r="C41" s="140" t="s">
        <v>141</v>
      </c>
    </row>
    <row r="42" spans="1:7" x14ac:dyDescent="0.25">
      <c r="A42" s="147"/>
      <c r="C42" s="148" t="s">
        <v>139</v>
      </c>
      <c r="D42" s="149"/>
      <c r="E42" s="160">
        <v>45231</v>
      </c>
    </row>
    <row r="43" spans="1:7" x14ac:dyDescent="0.25">
      <c r="A43" s="147"/>
      <c r="C43" s="150" t="s">
        <v>140</v>
      </c>
      <c r="D43" s="151"/>
      <c r="E43" s="160">
        <v>45260</v>
      </c>
    </row>
    <row r="44" spans="1:7" x14ac:dyDescent="0.25">
      <c r="A44" s="147"/>
    </row>
    <row r="45" spans="1:7" s="134" customFormat="1" ht="6" customHeight="1" x14ac:dyDescent="0.25"/>
    <row r="46" spans="1:7" ht="21" x14ac:dyDescent="0.35">
      <c r="A46" s="152"/>
      <c r="C46" s="136" t="s">
        <v>185</v>
      </c>
    </row>
    <row r="47" spans="1:7" ht="32.450000000000003" customHeight="1" x14ac:dyDescent="0.25">
      <c r="A47" s="152"/>
      <c r="C47" s="407" t="s">
        <v>495</v>
      </c>
      <c r="D47" s="407"/>
      <c r="E47" s="407"/>
      <c r="F47" s="407"/>
      <c r="G47" s="407"/>
    </row>
    <row r="48" spans="1:7" x14ac:dyDescent="0.25">
      <c r="A48" s="152"/>
      <c r="C48" s="141" t="s">
        <v>138</v>
      </c>
    </row>
    <row r="49" spans="1:7" x14ac:dyDescent="0.25">
      <c r="A49" s="152"/>
      <c r="C49" s="408" t="s">
        <v>438</v>
      </c>
      <c r="D49" s="408"/>
      <c r="E49" s="408"/>
      <c r="F49" s="408"/>
      <c r="G49" s="408"/>
    </row>
    <row r="50" spans="1:7" ht="33" customHeight="1" x14ac:dyDescent="0.25">
      <c r="A50" s="152"/>
      <c r="C50" s="408" t="s">
        <v>301</v>
      </c>
      <c r="D50" s="408"/>
      <c r="E50" s="408"/>
      <c r="F50" s="408"/>
      <c r="G50" s="408"/>
    </row>
    <row r="51" spans="1:7" x14ac:dyDescent="0.25">
      <c r="A51" s="152"/>
      <c r="C51" s="153" t="s">
        <v>186</v>
      </c>
    </row>
    <row r="52" spans="1:7" ht="48" customHeight="1" x14ac:dyDescent="0.25">
      <c r="A52" s="152"/>
      <c r="C52" s="409" t="s">
        <v>439</v>
      </c>
      <c r="D52" s="410"/>
      <c r="E52" s="414"/>
      <c r="F52" s="415"/>
      <c r="G52" s="416"/>
    </row>
    <row r="53" spans="1:7" ht="47.45" customHeight="1" x14ac:dyDescent="0.25">
      <c r="A53" s="152"/>
      <c r="C53" s="409" t="s">
        <v>499</v>
      </c>
      <c r="D53" s="410"/>
      <c r="E53" s="414"/>
      <c r="F53" s="415"/>
      <c r="G53" s="416"/>
    </row>
    <row r="54" spans="1:7" ht="49.7" customHeight="1" x14ac:dyDescent="0.25">
      <c r="A54" s="152"/>
      <c r="C54" s="409" t="s">
        <v>187</v>
      </c>
      <c r="D54" s="410"/>
      <c r="E54" s="414"/>
      <c r="F54" s="415"/>
      <c r="G54" s="416"/>
    </row>
    <row r="55" spans="1:7" ht="49.7" customHeight="1" x14ac:dyDescent="0.25">
      <c r="A55" s="152"/>
      <c r="C55" s="409" t="s">
        <v>188</v>
      </c>
      <c r="D55" s="410"/>
      <c r="E55" s="414"/>
      <c r="F55" s="415"/>
      <c r="G55" s="416"/>
    </row>
    <row r="56" spans="1:7" ht="33" customHeight="1" x14ac:dyDescent="0.25">
      <c r="A56" s="152"/>
      <c r="C56" s="419" t="s">
        <v>500</v>
      </c>
      <c r="D56" s="420"/>
      <c r="E56" s="414"/>
      <c r="F56" s="415"/>
      <c r="G56" s="416"/>
    </row>
    <row r="57" spans="1:7" x14ac:dyDescent="0.25">
      <c r="A57" s="152"/>
    </row>
    <row r="58" spans="1:7" x14ac:dyDescent="0.25">
      <c r="A58" s="152"/>
      <c r="C58" s="153" t="s">
        <v>261</v>
      </c>
    </row>
    <row r="59" spans="1:7" ht="56.1" customHeight="1" x14ac:dyDescent="0.25">
      <c r="A59" s="152"/>
      <c r="C59" s="417" t="s">
        <v>189</v>
      </c>
      <c r="D59" s="418"/>
      <c r="E59" s="414"/>
      <c r="F59" s="415"/>
      <c r="G59" s="416"/>
    </row>
    <row r="60" spans="1:7" ht="56.1" customHeight="1" x14ac:dyDescent="0.25">
      <c r="A60" s="152"/>
      <c r="C60" s="421" t="s">
        <v>407</v>
      </c>
      <c r="D60" s="422"/>
      <c r="E60" s="414"/>
      <c r="F60" s="415"/>
      <c r="G60" s="416"/>
    </row>
    <row r="61" spans="1:7" ht="56.1" customHeight="1" x14ac:dyDescent="0.25">
      <c r="A61" s="152"/>
      <c r="C61" s="421" t="s">
        <v>408</v>
      </c>
      <c r="D61" s="422"/>
      <c r="E61" s="415"/>
      <c r="F61" s="415"/>
      <c r="G61" s="416"/>
    </row>
    <row r="62" spans="1:7" ht="56.1" customHeight="1" x14ac:dyDescent="0.25">
      <c r="A62" s="152"/>
      <c r="C62" s="417" t="s">
        <v>190</v>
      </c>
      <c r="D62" s="418"/>
      <c r="E62" s="414"/>
      <c r="F62" s="415"/>
      <c r="G62" s="416"/>
    </row>
    <row r="63" spans="1:7" ht="56.1" customHeight="1" x14ac:dyDescent="0.25">
      <c r="A63" s="152"/>
      <c r="C63" s="417" t="s">
        <v>299</v>
      </c>
      <c r="D63" s="418"/>
      <c r="E63" s="414"/>
      <c r="F63" s="415"/>
      <c r="G63" s="416"/>
    </row>
  </sheetData>
  <sheetProtection algorithmName="SHA-512" hashValue="sAglxtZziIZDgeu+y3TVCx6ZJHP7b4V73GoteYu9EUKTXTZl6glb/sjsbbZWz4581vq3pmVqqPGAbN9MyZOuhQ==" saltValue="G8tj3crFgt4ubYizSnWEFg==" spinCount="100000" sheet="1" objects="1" scenarios="1"/>
  <mergeCells count="34">
    <mergeCell ref="C63:D63"/>
    <mergeCell ref="E59:G59"/>
    <mergeCell ref="C56:D56"/>
    <mergeCell ref="C59:D59"/>
    <mergeCell ref="C60:D60"/>
    <mergeCell ref="C61:D61"/>
    <mergeCell ref="C62:D62"/>
    <mergeCell ref="E56:G56"/>
    <mergeCell ref="E60:G60"/>
    <mergeCell ref="E61:G61"/>
    <mergeCell ref="E62:G62"/>
    <mergeCell ref="E63:G63"/>
    <mergeCell ref="D11:F11"/>
    <mergeCell ref="D12:F12"/>
    <mergeCell ref="D13:F13"/>
    <mergeCell ref="D14:F14"/>
    <mergeCell ref="D15:F15"/>
    <mergeCell ref="C52:D52"/>
    <mergeCell ref="C53:D53"/>
    <mergeCell ref="C54:D54"/>
    <mergeCell ref="C55:D55"/>
    <mergeCell ref="C35:F35"/>
    <mergeCell ref="E52:G52"/>
    <mergeCell ref="E53:G53"/>
    <mergeCell ref="E54:G54"/>
    <mergeCell ref="E55:G55"/>
    <mergeCell ref="D16:F16"/>
    <mergeCell ref="C47:G47"/>
    <mergeCell ref="C50:G50"/>
    <mergeCell ref="C20:G20"/>
    <mergeCell ref="C21:G21"/>
    <mergeCell ref="C25:G25"/>
    <mergeCell ref="C26:G26"/>
    <mergeCell ref="C49:G49"/>
  </mergeCells>
  <phoneticPr fontId="22" type="noConversion"/>
  <dataValidations xWindow="1344" yWindow="675" count="4">
    <dataValidation type="list" allowBlank="1" showInputMessage="1" showErrorMessage="1" sqref="E29:E32" xr:uid="{A8A8218A-8FBF-4E73-9DAA-0C1728DCE7C5}">
      <formula1>Auswahl_Defaultwerte_Individual</formula1>
    </dataValidation>
    <dataValidation type="date" allowBlank="1" showInputMessage="1" showErrorMessage="1" sqref="E42:E43" xr:uid="{0DAA6753-90FE-4CE8-8822-F7DB12A95C82}">
      <formula1>36161</formula1>
      <formula2>73051</formula2>
    </dataValidation>
    <dataValidation type="textLength" showInputMessage="1" showErrorMessage="1" error="Die maximal zulässige Zeichenanzahl ist 400" promptTitle="Hinweis:" prompt="Die maximal zulässige Zeichenanzahl ist 400" sqref="E52:G52" xr:uid="{E71630C7-7E4B-4C6E-9C17-E8CE18CB0D51}">
      <formula1>0</formula1>
      <formula2>400</formula2>
    </dataValidation>
    <dataValidation type="textLength" allowBlank="1" showInputMessage="1" showErrorMessage="1" error="Die maximal zulässige Zeichenanzahl ist 400" promptTitle="Hinweis:" prompt="Die maximal zulässige Zeichenanzahl ist 400" sqref="E59:G63 E53:G55" xr:uid="{3D7D9C0E-D22C-4CC8-9972-8CCE0164669F}">
      <formula1>0</formula1>
      <formula2>400</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xWindow="1344" yWindow="675" count="1">
        <x14:dataValidation type="list" allowBlank="1" showInputMessage="1" showErrorMessage="1" xr:uid="{3063C12A-1849-4286-AC7C-2B98C098B374}">
          <x14:formula1>
            <xm:f>Emissionsfaktoren!$L$9:$L$10</xm:f>
          </x14:formula1>
          <xm:sqref>E56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B35E-A4DB-45DC-AD20-8D2B6EA7D661}">
  <sheetPr codeName="Dateneingabe">
    <tabColor rgb="FF66FFFF"/>
  </sheetPr>
  <dimension ref="A4:Q130"/>
  <sheetViews>
    <sheetView showGridLines="0" zoomScale="80" zoomScaleNormal="80" workbookViewId="0">
      <pane ySplit="6" topLeftCell="A7" activePane="bottomLeft" state="frozen"/>
      <selection activeCell="C25" sqref="C25:G25"/>
      <selection pane="bottomLeft"/>
    </sheetView>
  </sheetViews>
  <sheetFormatPr baseColWidth="10" defaultColWidth="8.85546875" defaultRowHeight="15" x14ac:dyDescent="0.25"/>
  <cols>
    <col min="1" max="1" width="2.140625" style="132" customWidth="1"/>
    <col min="2" max="2" width="3.5703125" style="132" customWidth="1"/>
    <col min="3" max="3" width="3.140625" style="132" customWidth="1"/>
    <col min="4" max="4" width="2.85546875" style="132" customWidth="1"/>
    <col min="5" max="5" width="64.5703125" style="132" customWidth="1"/>
    <col min="6" max="6" width="31.5703125" style="132" customWidth="1"/>
    <col min="7" max="7" width="41.42578125" style="132" customWidth="1"/>
    <col min="8" max="8" width="42.5703125" style="132" customWidth="1"/>
    <col min="9" max="9" width="45.5703125" style="132" customWidth="1"/>
    <col min="10" max="10" width="34.42578125" style="132" customWidth="1"/>
    <col min="11" max="11" width="25.5703125" style="132" customWidth="1"/>
    <col min="12" max="12" width="34.140625" style="132" customWidth="1"/>
    <col min="13" max="13" width="22.140625" style="132" customWidth="1"/>
    <col min="14" max="14" width="16.85546875" style="132" customWidth="1"/>
    <col min="15" max="15" width="12.5703125" style="132" customWidth="1"/>
    <col min="16" max="16" width="16.140625" style="132" customWidth="1"/>
    <col min="17" max="16384" width="8.85546875" style="132"/>
  </cols>
  <sheetData>
    <row r="4" spans="1:17" x14ac:dyDescent="0.25">
      <c r="H4" s="161"/>
    </row>
    <row r="6" spans="1:17" ht="15.75" thickBot="1" x14ac:dyDescent="0.3">
      <c r="A6" s="162"/>
      <c r="B6" s="162"/>
      <c r="C6" s="162"/>
      <c r="D6" s="162"/>
      <c r="E6" s="162"/>
      <c r="F6" s="162"/>
      <c r="G6" s="162"/>
      <c r="H6" s="162"/>
      <c r="I6" s="162"/>
      <c r="J6" s="162"/>
      <c r="K6" s="162"/>
      <c r="L6" s="162"/>
      <c r="M6" s="162"/>
      <c r="N6" s="162"/>
      <c r="O6" s="162"/>
      <c r="P6" s="162"/>
      <c r="Q6" s="162"/>
    </row>
    <row r="7" spans="1:17" s="134" customFormat="1" ht="6" customHeight="1" x14ac:dyDescent="0.25"/>
    <row r="8" spans="1:17" ht="23.25" x14ac:dyDescent="0.35">
      <c r="A8" s="163"/>
      <c r="B8" s="164" t="s">
        <v>179</v>
      </c>
      <c r="C8" s="142"/>
      <c r="D8" s="142"/>
      <c r="E8" s="142"/>
    </row>
    <row r="9" spans="1:17" ht="18.75" x14ac:dyDescent="0.3">
      <c r="A9" s="163"/>
      <c r="E9" s="165" t="s">
        <v>180</v>
      </c>
    </row>
    <row r="10" spans="1:17" x14ac:dyDescent="0.25">
      <c r="A10" s="163"/>
      <c r="E10" s="166" t="s">
        <v>282</v>
      </c>
    </row>
    <row r="11" spans="1:17" x14ac:dyDescent="0.25">
      <c r="A11" s="163"/>
      <c r="E11" s="138" t="s">
        <v>283</v>
      </c>
    </row>
    <row r="12" spans="1:17" ht="32.1" customHeight="1" x14ac:dyDescent="0.25">
      <c r="A12" s="163"/>
      <c r="E12" s="423" t="s">
        <v>284</v>
      </c>
      <c r="F12" s="423"/>
      <c r="G12" s="423"/>
      <c r="H12" s="423"/>
      <c r="I12" s="423"/>
    </row>
    <row r="13" spans="1:17" ht="50.85" customHeight="1" x14ac:dyDescent="0.25">
      <c r="A13" s="163"/>
      <c r="E13" s="423" t="s">
        <v>285</v>
      </c>
      <c r="F13" s="423"/>
      <c r="G13" s="423"/>
      <c r="H13" s="423"/>
      <c r="I13" s="423"/>
    </row>
    <row r="14" spans="1:17" s="134" customFormat="1" ht="6" customHeight="1" x14ac:dyDescent="0.25"/>
    <row r="15" spans="1:17" ht="23.25" x14ac:dyDescent="0.35">
      <c r="A15" s="167"/>
      <c r="B15" s="168" t="s">
        <v>144</v>
      </c>
      <c r="C15" s="142"/>
      <c r="D15" s="142"/>
      <c r="E15" s="142"/>
    </row>
    <row r="16" spans="1:17" x14ac:dyDescent="0.25">
      <c r="A16" s="167"/>
      <c r="E16" s="140" t="s">
        <v>146</v>
      </c>
      <c r="F16" s="146"/>
    </row>
    <row r="17" spans="1:10" x14ac:dyDescent="0.25">
      <c r="A17" s="167"/>
      <c r="E17" s="140" t="s">
        <v>147</v>
      </c>
      <c r="F17" s="146"/>
    </row>
    <row r="18" spans="1:10" x14ac:dyDescent="0.25">
      <c r="A18" s="167"/>
      <c r="E18" s="140" t="s">
        <v>286</v>
      </c>
    </row>
    <row r="19" spans="1:10" ht="45" x14ac:dyDescent="0.25">
      <c r="A19" s="167"/>
      <c r="B19" s="146"/>
      <c r="E19" s="291" t="s">
        <v>227</v>
      </c>
      <c r="F19" s="59"/>
    </row>
    <row r="20" spans="1:10" ht="30" x14ac:dyDescent="0.25">
      <c r="A20" s="167"/>
      <c r="B20" s="146"/>
      <c r="E20" s="291" t="s">
        <v>145</v>
      </c>
      <c r="F20" s="59"/>
    </row>
    <row r="21" spans="1:10" x14ac:dyDescent="0.25">
      <c r="A21" s="167"/>
      <c r="B21" s="146"/>
      <c r="G21" s="161"/>
    </row>
    <row r="22" spans="1:10" x14ac:dyDescent="0.25">
      <c r="A22" s="167"/>
      <c r="B22" s="146"/>
      <c r="C22" s="146"/>
      <c r="E22" s="169" t="s">
        <v>90</v>
      </c>
      <c r="F22" s="170" t="s">
        <v>150</v>
      </c>
      <c r="G22" s="169" t="s">
        <v>148</v>
      </c>
      <c r="H22" s="171" t="s">
        <v>41</v>
      </c>
      <c r="I22" s="171" t="s">
        <v>87</v>
      </c>
    </row>
    <row r="23" spans="1:10" ht="30" x14ac:dyDescent="0.25">
      <c r="A23" s="167"/>
      <c r="B23" s="161"/>
      <c r="C23" s="146"/>
      <c r="E23" s="292" t="s">
        <v>154</v>
      </c>
      <c r="F23" s="81"/>
      <c r="G23" s="293" t="str">
        <f>"kWh / "&amp;Streuflaeche[[#Totals],[Bewertete Streufläche bSF  '[m²'] ]]&amp;" m² bewertete Streufläche"</f>
        <v>kWh / 0 m² bewertete Streufläche</v>
      </c>
      <c r="H23" s="60"/>
      <c r="I23" s="97"/>
    </row>
    <row r="24" spans="1:10" x14ac:dyDescent="0.25">
      <c r="A24" s="167"/>
      <c r="B24" s="146"/>
      <c r="C24" s="146"/>
      <c r="E24" s="292" t="s">
        <v>262</v>
      </c>
      <c r="F24" s="81"/>
      <c r="G24" s="293" t="str">
        <f>"MJ / "&amp;Streuflaeche[[#Totals],[Bewertete Streufläche bSF  '[m²'] ]]&amp;" m² bewertete Streufläche"</f>
        <v>MJ / 0 m² bewertete Streufläche</v>
      </c>
      <c r="H24" s="60"/>
      <c r="I24" s="97"/>
    </row>
    <row r="25" spans="1:10" ht="46.35" customHeight="1" x14ac:dyDescent="0.25">
      <c r="A25" s="167"/>
      <c r="B25" s="146"/>
      <c r="C25" s="146"/>
      <c r="E25" s="292" t="s">
        <v>263</v>
      </c>
      <c r="F25" s="81"/>
      <c r="G25" s="293" t="str">
        <f>"Liter / "&amp;Streuflaeche[[#Totals],[Bewertete Streufläche bSF  '[m²'] ]]&amp;" m² bewertete Streufläche"</f>
        <v>Liter / 0 m² bewertete Streufläche</v>
      </c>
      <c r="H25" s="60"/>
      <c r="I25" s="97"/>
      <c r="J25" s="161"/>
    </row>
    <row r="26" spans="1:10" ht="43.5" customHeight="1" x14ac:dyDescent="0.25">
      <c r="A26" s="167"/>
      <c r="B26" s="146"/>
      <c r="C26" s="146"/>
      <c r="E26" s="292" t="s">
        <v>264</v>
      </c>
      <c r="F26" s="81"/>
      <c r="G26" s="293" t="str">
        <f>"Liter / "&amp;Streuflaeche[[#Totals],[Bewertete Streufläche bSF  '[m²'] ]]&amp;" m² bewertete Streufläche"</f>
        <v>Liter / 0 m² bewertete Streufläche</v>
      </c>
      <c r="H26" s="60"/>
      <c r="I26" s="97"/>
    </row>
    <row r="27" spans="1:10" ht="29.1" customHeight="1" x14ac:dyDescent="0.25">
      <c r="A27" s="167"/>
      <c r="B27" s="146"/>
      <c r="C27" s="146"/>
      <c r="E27" s="292" t="s">
        <v>265</v>
      </c>
      <c r="F27" s="81"/>
      <c r="G27" s="293" t="str">
        <f>"Liter / "&amp;Streuflaeche[[#Totals],[Bewertete Streufläche bSF  '[m²'] ]]&amp;" m² bewertete Streufläche"</f>
        <v>Liter / 0 m² bewertete Streufläche</v>
      </c>
      <c r="H27" s="60"/>
      <c r="I27" s="97"/>
    </row>
    <row r="28" spans="1:10" ht="42.6" customHeight="1" x14ac:dyDescent="0.25">
      <c r="A28" s="167"/>
      <c r="B28" s="146"/>
      <c r="C28" s="146"/>
      <c r="E28" s="292" t="s">
        <v>266</v>
      </c>
      <c r="F28" s="81"/>
      <c r="G28" s="293" t="str">
        <f>"Liter / "&amp;Streuflaeche[[#Totals],[Bewertete Streufläche bSF  '[m²'] ]]&amp;" m² bewertete Streufläche"</f>
        <v>Liter / 0 m² bewertete Streufläche</v>
      </c>
      <c r="H28" s="60"/>
      <c r="I28" s="97"/>
    </row>
    <row r="29" spans="1:10" x14ac:dyDescent="0.25">
      <c r="A29" s="167"/>
      <c r="B29" s="172"/>
      <c r="E29" s="161"/>
    </row>
    <row r="30" spans="1:10" x14ac:dyDescent="0.25">
      <c r="A30" s="167"/>
      <c r="B30" s="172"/>
    </row>
    <row r="31" spans="1:10" hidden="1" x14ac:dyDescent="0.25">
      <c r="A31" s="167"/>
      <c r="B31" s="172"/>
      <c r="E31" s="140" t="s">
        <v>211</v>
      </c>
    </row>
    <row r="32" spans="1:10" hidden="1" x14ac:dyDescent="0.25">
      <c r="A32" s="167"/>
      <c r="B32" s="172"/>
      <c r="E32" s="170" t="s">
        <v>151</v>
      </c>
      <c r="F32" s="170" t="s">
        <v>150</v>
      </c>
      <c r="G32" s="169" t="s">
        <v>148</v>
      </c>
      <c r="H32" s="173" t="s">
        <v>41</v>
      </c>
      <c r="I32" s="173" t="s">
        <v>87</v>
      </c>
    </row>
    <row r="33" spans="1:10" ht="29.1" hidden="1" customHeight="1" x14ac:dyDescent="0.25">
      <c r="A33" s="167"/>
      <c r="B33" s="172"/>
      <c r="E33" s="295" t="s">
        <v>152</v>
      </c>
      <c r="F33" s="123"/>
      <c r="G33" s="292" t="str">
        <f>"Eigenverbrauch Endenergie in kWh / "&amp;Streuflaeche[[#Totals],[Bewertete Streufläche bSF  '[m²'] ]]&amp;" m² bewertete Streufläche"</f>
        <v>Eigenverbrauch Endenergie in kWh / 0 m² bewertete Streufläche</v>
      </c>
      <c r="H33" s="61"/>
      <c r="I33" s="96"/>
    </row>
    <row r="34" spans="1:10" ht="12.6" hidden="1" customHeight="1" x14ac:dyDescent="0.25">
      <c r="A34" s="167"/>
      <c r="B34" s="172"/>
    </row>
    <row r="35" spans="1:10" x14ac:dyDescent="0.25">
      <c r="A35" s="167"/>
    </row>
    <row r="36" spans="1:10" x14ac:dyDescent="0.25">
      <c r="A36" s="167"/>
      <c r="B36" s="172"/>
      <c r="E36" s="140" t="s">
        <v>149</v>
      </c>
      <c r="I36" s="161"/>
    </row>
    <row r="37" spans="1:10" x14ac:dyDescent="0.25">
      <c r="A37" s="167"/>
      <c r="B37" s="172"/>
      <c r="E37" s="170" t="s">
        <v>53</v>
      </c>
      <c r="F37" s="170" t="s">
        <v>150</v>
      </c>
      <c r="G37" s="169" t="s">
        <v>148</v>
      </c>
      <c r="H37" s="173" t="s">
        <v>41</v>
      </c>
      <c r="I37" s="173" t="s">
        <v>87</v>
      </c>
    </row>
    <row r="38" spans="1:10" x14ac:dyDescent="0.25">
      <c r="A38" s="167"/>
      <c r="B38" s="172"/>
      <c r="E38" s="296" t="s">
        <v>30</v>
      </c>
      <c r="F38" s="83"/>
      <c r="G38" s="293" t="str">
        <f>"m³ / "&amp;Streuflaeche[[#Totals],[Bewertete Streufläche bSF  '[m²'] ]]&amp;" m² bewertete Streufläche"</f>
        <v>m³ / 0 m² bewertete Streufläche</v>
      </c>
      <c r="H38" s="61"/>
      <c r="I38" s="97"/>
    </row>
    <row r="39" spans="1:10" x14ac:dyDescent="0.25">
      <c r="A39" s="167"/>
      <c r="B39" s="172"/>
      <c r="E39" s="296" t="s">
        <v>212</v>
      </c>
      <c r="F39" s="83"/>
      <c r="G39" s="293" t="str">
        <f>"Liter / "&amp;Streuflaeche[[#Totals],[Bewertete Streufläche bSF  '[m²'] ]]&amp;" m² bewertete Streufläche"</f>
        <v>Liter / 0 m² bewertete Streufläche</v>
      </c>
      <c r="H39" s="61"/>
      <c r="I39" s="97"/>
    </row>
    <row r="40" spans="1:10" x14ac:dyDescent="0.25">
      <c r="A40" s="167"/>
      <c r="B40" s="172"/>
      <c r="C40" s="161"/>
      <c r="E40" s="296" t="s">
        <v>268</v>
      </c>
      <c r="F40" s="83"/>
      <c r="G40" s="293" t="str">
        <f>"Tonnen / "&amp;Streuflaeche[[#Totals],[Bewertete Streufläche bSF  '[m²'] ]]&amp;" m² bewertete Streufläche"</f>
        <v>Tonnen / 0 m² bewertete Streufläche</v>
      </c>
      <c r="H40" s="61"/>
      <c r="I40" s="97"/>
    </row>
    <row r="41" spans="1:10" x14ac:dyDescent="0.25">
      <c r="A41" s="167"/>
      <c r="B41" s="172"/>
      <c r="C41" s="161"/>
      <c r="E41" s="297" t="s">
        <v>267</v>
      </c>
      <c r="F41" s="83"/>
      <c r="G41" s="293" t="str">
        <f>"Tonnen / "&amp;Streuflaeche[[#Totals],[Bewertete Streufläche bSF  '[m²'] ]]&amp;" m² bewertete Streufläche"</f>
        <v>Tonnen / 0 m² bewertete Streufläche</v>
      </c>
      <c r="H41" s="61"/>
      <c r="I41" s="97"/>
    </row>
    <row r="42" spans="1:10" x14ac:dyDescent="0.25">
      <c r="A42" s="167"/>
      <c r="B42" s="172"/>
      <c r="E42" s="298" t="s">
        <v>309</v>
      </c>
      <c r="F42" s="83"/>
      <c r="G42" s="293" t="str">
        <f>"m³ / "&amp;Streuflaeche[[#Totals],[Bewertete Streufläche bSF  '[m²'] ]]&amp;" m² bewertete Streufläche"</f>
        <v>m³ / 0 m² bewertete Streufläche</v>
      </c>
      <c r="H42" s="61"/>
      <c r="I42" s="97"/>
    </row>
    <row r="43" spans="1:10" ht="27" customHeight="1" x14ac:dyDescent="0.25">
      <c r="A43" s="167"/>
      <c r="B43" s="172"/>
      <c r="E43" s="296" t="s">
        <v>153</v>
      </c>
      <c r="F43" s="83"/>
      <c r="G43" s="292" t="str">
        <f>"Eigenverbrauch Endenergie in MJ / "&amp;Streuflaeche[[#Totals],[Bewertete Streufläche bSF  '[m²'] ]]&amp;" m² bewertete Streufläche"</f>
        <v>Eigenverbrauch Endenergie in MJ / 0 m² bewertete Streufläche</v>
      </c>
      <c r="H43" s="61"/>
      <c r="I43" s="97"/>
    </row>
    <row r="44" spans="1:10" ht="14.45" customHeight="1" x14ac:dyDescent="0.25">
      <c r="A44" s="167"/>
      <c r="B44" s="172"/>
    </row>
    <row r="45" spans="1:10" x14ac:dyDescent="0.25">
      <c r="A45" s="167"/>
      <c r="B45" s="172"/>
      <c r="E45" s="161"/>
    </row>
    <row r="46" spans="1:10" s="134" customFormat="1" ht="6" customHeight="1" x14ac:dyDescent="0.25"/>
    <row r="47" spans="1:10" ht="23.25" x14ac:dyDescent="0.35">
      <c r="A47" s="174"/>
      <c r="B47" s="164" t="s">
        <v>89</v>
      </c>
      <c r="E47" s="161"/>
      <c r="J47" s="175"/>
    </row>
    <row r="48" spans="1:10" ht="23.25" x14ac:dyDescent="0.35">
      <c r="A48" s="174"/>
      <c r="B48" s="164"/>
      <c r="E48" s="176" t="s">
        <v>80</v>
      </c>
      <c r="F48" s="142"/>
      <c r="G48" s="142"/>
      <c r="H48" s="161"/>
      <c r="J48" s="177"/>
    </row>
    <row r="49" spans="1:13" x14ac:dyDescent="0.25">
      <c r="A49" s="174"/>
      <c r="B49" s="172"/>
      <c r="E49" s="141"/>
      <c r="G49" s="161"/>
      <c r="J49" s="177"/>
    </row>
    <row r="50" spans="1:13" x14ac:dyDescent="0.25">
      <c r="A50" s="174"/>
      <c r="B50" s="172"/>
      <c r="E50" s="178" t="s">
        <v>270</v>
      </c>
      <c r="G50" s="161"/>
      <c r="J50" s="177"/>
    </row>
    <row r="51" spans="1:13" x14ac:dyDescent="0.25">
      <c r="A51" s="174"/>
      <c r="B51" s="172"/>
      <c r="E51" s="140" t="s">
        <v>269</v>
      </c>
      <c r="G51" s="161"/>
      <c r="J51" s="177"/>
    </row>
    <row r="52" spans="1:13" x14ac:dyDescent="0.25">
      <c r="A52" s="174"/>
      <c r="B52" s="172"/>
      <c r="E52" s="140" t="s">
        <v>193</v>
      </c>
      <c r="G52" s="161"/>
      <c r="J52" s="177"/>
    </row>
    <row r="53" spans="1:13" x14ac:dyDescent="0.25">
      <c r="A53" s="174"/>
      <c r="B53" s="172"/>
      <c r="E53" s="315"/>
      <c r="G53" s="161"/>
      <c r="J53" s="177"/>
    </row>
    <row r="54" spans="1:13" ht="30" x14ac:dyDescent="0.25">
      <c r="A54" s="174"/>
      <c r="B54" s="172"/>
      <c r="E54" s="179" t="s">
        <v>161</v>
      </c>
      <c r="F54" s="179" t="s">
        <v>158</v>
      </c>
      <c r="G54" s="179" t="s">
        <v>148</v>
      </c>
      <c r="H54" s="180" t="s">
        <v>41</v>
      </c>
      <c r="I54" s="180" t="s">
        <v>87</v>
      </c>
    </row>
    <row r="55" spans="1:13" x14ac:dyDescent="0.25">
      <c r="A55" s="174"/>
      <c r="B55" s="172"/>
      <c r="E55" s="79" t="s">
        <v>300</v>
      </c>
      <c r="F55" s="82"/>
      <c r="G55" s="294" t="str">
        <f>"Tonnen / "&amp;Streuflaeche[[#Totals],[Bewertete Streufläche bSF  '[m²'] ]]&amp;" m² bewertete Streufläche"</f>
        <v>Tonnen / 0 m² bewertete Streufläche</v>
      </c>
      <c r="H55" s="61" t="s">
        <v>98</v>
      </c>
      <c r="I55" s="97"/>
    </row>
    <row r="56" spans="1:13" x14ac:dyDescent="0.25">
      <c r="A56" s="174"/>
      <c r="B56" s="172"/>
      <c r="E56" s="79"/>
      <c r="F56" s="82"/>
      <c r="G56" s="294" t="str">
        <f>"Tonnen / "&amp;Streuflaeche[[#Totals],[Bewertete Streufläche bSF  '[m²'] ]]&amp;" m² bewertete Streufläche"</f>
        <v>Tonnen / 0 m² bewertete Streufläche</v>
      </c>
      <c r="H56" s="61"/>
      <c r="I56" s="97"/>
    </row>
    <row r="57" spans="1:13" x14ac:dyDescent="0.25">
      <c r="A57" s="174"/>
      <c r="B57" s="172"/>
      <c r="E57" s="79"/>
      <c r="F57" s="82"/>
      <c r="G57" s="294" t="str">
        <f>"Tonnen / "&amp;Streuflaeche[[#Totals],[Bewertete Streufläche bSF  '[m²'] ]]&amp;" m² bewertete Streufläche"</f>
        <v>Tonnen / 0 m² bewertete Streufläche</v>
      </c>
      <c r="H57" s="61"/>
      <c r="I57" s="97"/>
    </row>
    <row r="58" spans="1:13" x14ac:dyDescent="0.25">
      <c r="A58" s="174"/>
      <c r="B58" s="172"/>
      <c r="E58" s="80"/>
      <c r="F58" s="84"/>
      <c r="G58" s="299" t="str">
        <f>"Tonnen / "&amp;Streuflaeche[[#Totals],[Bewertete Streufläche bSF  '[m²'] ]]&amp;" m² bewertete Streufläche"</f>
        <v>Tonnen / 0 m² bewertete Streufläche</v>
      </c>
      <c r="H58" s="61"/>
      <c r="I58" s="97"/>
    </row>
    <row r="59" spans="1:13" x14ac:dyDescent="0.25">
      <c r="A59" s="174"/>
      <c r="B59" s="172"/>
      <c r="E59" s="79"/>
      <c r="F59" s="84"/>
      <c r="G59" s="294" t="str">
        <f>"Tonnen / "&amp;Streuflaeche[[#Totals],[Bewertete Streufläche bSF  '[m²'] ]]&amp;" m² bewertete Streufläche"</f>
        <v>Tonnen / 0 m² bewertete Streufläche</v>
      </c>
      <c r="H59" s="61"/>
      <c r="I59" s="97"/>
    </row>
    <row r="60" spans="1:13" x14ac:dyDescent="0.25">
      <c r="A60" s="174"/>
      <c r="B60" s="172"/>
      <c r="E60" s="79"/>
      <c r="F60" s="84"/>
      <c r="G60" s="294" t="str">
        <f>"Tonnen / "&amp;Streuflaeche[[#Totals],[Bewertete Streufläche bSF  '[m²'] ]]&amp;" m² bewertete Streufläche"</f>
        <v>Tonnen / 0 m² bewertete Streufläche</v>
      </c>
      <c r="H60" s="61"/>
      <c r="I60" s="97"/>
    </row>
    <row r="61" spans="1:13" x14ac:dyDescent="0.25">
      <c r="A61" s="174"/>
      <c r="B61" s="172"/>
      <c r="E61" s="79"/>
      <c r="F61" s="84"/>
      <c r="G61" s="294" t="str">
        <f>"Tonnen / "&amp;Streuflaeche[[#Totals],[Bewertete Streufläche bSF  '[m²'] ]]&amp;" m² bewertete Streufläche"</f>
        <v>Tonnen / 0 m² bewertete Streufläche</v>
      </c>
      <c r="H61" s="61"/>
      <c r="I61" s="97"/>
    </row>
    <row r="62" spans="1:13" x14ac:dyDescent="0.25">
      <c r="A62" s="174"/>
      <c r="B62" s="172"/>
      <c r="E62" s="79"/>
      <c r="F62" s="84"/>
      <c r="G62" s="294" t="str">
        <f>"Tonnen / "&amp;Streuflaeche[[#Totals],[Bewertete Streufläche bSF  '[m²'] ]]&amp;" m² bewertete Streufläche"</f>
        <v>Tonnen / 0 m² bewertete Streufläche</v>
      </c>
      <c r="H62" s="61"/>
      <c r="I62" s="97"/>
    </row>
    <row r="63" spans="1:13" ht="14.1" customHeight="1" x14ac:dyDescent="0.25">
      <c r="A63" s="174"/>
      <c r="B63" s="172"/>
      <c r="E63" s="300" t="s">
        <v>32</v>
      </c>
      <c r="F63" s="301">
        <f>SUBTOTAL(109,Eingabe_Ausbringungen_Fremdsalz[Verbrauch '[Tonnen/funktionelle Einheit']])</f>
        <v>0</v>
      </c>
      <c r="G63" s="294" t="str">
        <f>"Tonnen / "&amp;Streuflaeche[[#Totals],[Bewertete Streufläche bSF  '[m²'] ]]&amp;" m² bewertete Streufläche"</f>
        <v>Tonnen / 0 m² bewertete Streufläche</v>
      </c>
      <c r="H63" s="300"/>
      <c r="I63" s="300"/>
      <c r="L63" s="161"/>
      <c r="M63" s="181"/>
    </row>
    <row r="64" spans="1:13" x14ac:dyDescent="0.25">
      <c r="A64" s="174"/>
      <c r="B64" s="172"/>
      <c r="L64" s="161"/>
    </row>
    <row r="65" spans="1:14" x14ac:dyDescent="0.25">
      <c r="A65" s="174"/>
      <c r="B65" s="172"/>
      <c r="E65" s="182" t="s">
        <v>271</v>
      </c>
      <c r="L65" s="161"/>
    </row>
    <row r="66" spans="1:14" x14ac:dyDescent="0.25">
      <c r="A66" s="174"/>
      <c r="B66" s="172"/>
      <c r="E66" s="140" t="s">
        <v>272</v>
      </c>
      <c r="J66" s="142"/>
      <c r="L66" s="161"/>
    </row>
    <row r="67" spans="1:14" ht="14.45" customHeight="1" x14ac:dyDescent="0.25">
      <c r="A67" s="174"/>
      <c r="B67" s="172"/>
      <c r="E67" s="314"/>
      <c r="J67" s="383"/>
      <c r="L67" s="161"/>
      <c r="M67" s="383"/>
      <c r="N67" s="383"/>
    </row>
    <row r="68" spans="1:14" ht="60" x14ac:dyDescent="0.25">
      <c r="A68" s="174"/>
      <c r="B68" s="172"/>
      <c r="E68" s="179" t="s">
        <v>160</v>
      </c>
      <c r="F68" s="179" t="s">
        <v>159</v>
      </c>
      <c r="G68" s="183" t="s">
        <v>411</v>
      </c>
      <c r="H68" s="179" t="s">
        <v>148</v>
      </c>
      <c r="I68" s="179" t="s">
        <v>213</v>
      </c>
      <c r="J68" s="179" t="s">
        <v>41</v>
      </c>
      <c r="K68" s="180" t="s">
        <v>87</v>
      </c>
      <c r="L68" s="184" t="s">
        <v>401</v>
      </c>
    </row>
    <row r="69" spans="1:14" x14ac:dyDescent="0.25">
      <c r="A69" s="174"/>
      <c r="B69" s="172"/>
      <c r="E69" s="62"/>
      <c r="F69" s="64"/>
      <c r="G69" s="82"/>
      <c r="H69" s="294" t="str">
        <f>"Tonnen / "&amp;Streuflaeche[[#Totals],[Bewertete Streufläche bSF  '[m²'] ]]&amp;" m² bewertete Streufläche"</f>
        <v>Tonnen / 0 m² bewertete Streufläche</v>
      </c>
      <c r="I69" s="85"/>
      <c r="J69" s="61"/>
      <c r="K69" s="98"/>
      <c r="L69" s="303" t="str" cm="1">
        <f t="array" ref="L69">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0" spans="1:14" x14ac:dyDescent="0.25">
      <c r="A70" s="174"/>
      <c r="B70" s="172"/>
      <c r="E70" s="62"/>
      <c r="F70" s="64"/>
      <c r="G70" s="82"/>
      <c r="H70" s="294" t="str">
        <f>"Tonnen / "&amp;Streuflaeche[[#Totals],[Bewertete Streufläche bSF  '[m²'] ]]&amp;" m² bewertete Streufläche"</f>
        <v>Tonnen / 0 m² bewertete Streufläche</v>
      </c>
      <c r="I70" s="86"/>
      <c r="J70" s="61"/>
      <c r="K70" s="98"/>
      <c r="L70" s="303" t="str" cm="1">
        <f t="array" ref="L70">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1" spans="1:14" x14ac:dyDescent="0.25">
      <c r="A71" s="174"/>
      <c r="B71" s="172"/>
      <c r="E71" s="62"/>
      <c r="F71" s="64"/>
      <c r="G71" s="82"/>
      <c r="H71" s="294" t="str">
        <f>"Tonnen / "&amp;Streuflaeche[[#Totals],[Bewertete Streufläche bSF  '[m²'] ]]&amp;" m² bewertete Streufläche"</f>
        <v>Tonnen / 0 m² bewertete Streufläche</v>
      </c>
      <c r="I71" s="86"/>
      <c r="J71" s="61"/>
      <c r="K71" s="98"/>
      <c r="L71" s="303" t="str" cm="1">
        <f t="array" ref="L71">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2" spans="1:14" x14ac:dyDescent="0.25">
      <c r="A72" s="174"/>
      <c r="B72" s="172"/>
      <c r="E72" s="62"/>
      <c r="F72" s="64"/>
      <c r="G72" s="82"/>
      <c r="H72" s="294" t="str">
        <f>"Tonnen / "&amp;Streuflaeche[[#Totals],[Bewertete Streufläche bSF  '[m²'] ]]&amp;" m² bewertete Streufläche"</f>
        <v>Tonnen / 0 m² bewertete Streufläche</v>
      </c>
      <c r="I72" s="85"/>
      <c r="J72" s="61"/>
      <c r="K72" s="98"/>
      <c r="L72" s="303" t="str" cm="1">
        <f t="array" ref="L72">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3" spans="1:14" x14ac:dyDescent="0.25">
      <c r="A73" s="174"/>
      <c r="B73" s="172"/>
      <c r="E73" s="62"/>
      <c r="F73" s="64"/>
      <c r="G73" s="82"/>
      <c r="H73" s="294" t="str">
        <f>"Tonnen / "&amp;Streuflaeche[[#Totals],[Bewertete Streufläche bSF  '[m²'] ]]&amp;" m² bewertete Streufläche"</f>
        <v>Tonnen / 0 m² bewertete Streufläche</v>
      </c>
      <c r="I73" s="86"/>
      <c r="J73" s="61"/>
      <c r="K73" s="98"/>
      <c r="L73" s="303" t="str" cm="1">
        <f t="array" ref="L73">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4" spans="1:14" x14ac:dyDescent="0.25">
      <c r="A74" s="174"/>
      <c r="B74" s="172"/>
      <c r="E74" s="62"/>
      <c r="F74" s="64"/>
      <c r="G74" s="82"/>
      <c r="H74" s="294" t="str">
        <f>"Tonnen / "&amp;Streuflaeche[[#Totals],[Bewertete Streufläche bSF  '[m²'] ]]&amp;" m² bewertete Streufläche"</f>
        <v>Tonnen / 0 m² bewertete Streufläche</v>
      </c>
      <c r="I74" s="86"/>
      <c r="J74" s="61"/>
      <c r="K74" s="98"/>
      <c r="L74" s="303" t="str" cm="1">
        <f t="array" ref="L74">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5" spans="1:14" x14ac:dyDescent="0.25">
      <c r="A75" s="174"/>
      <c r="B75" s="172"/>
      <c r="E75" s="62"/>
      <c r="F75" s="64"/>
      <c r="G75" s="82"/>
      <c r="H75" s="294" t="str">
        <f>"Tonnen / "&amp;Streuflaeche[[#Totals],[Bewertete Streufläche bSF  '[m²'] ]]&amp;" m² bewertete Streufläche"</f>
        <v>Tonnen / 0 m² bewertete Streufläche</v>
      </c>
      <c r="I75" s="85"/>
      <c r="J75" s="61"/>
      <c r="K75" s="98"/>
      <c r="L75" s="303" t="str" cm="1">
        <f t="array" ref="L75">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6" spans="1:14" x14ac:dyDescent="0.25">
      <c r="A76" s="174"/>
      <c r="B76" s="172"/>
      <c r="E76" s="62"/>
      <c r="F76" s="65"/>
      <c r="G76" s="82"/>
      <c r="H76" s="294" t="str">
        <f>"Tonnen / "&amp;Streuflaeche[[#Totals],[Bewertete Streufläche bSF  '[m²'] ]]&amp;" m² bewertete Streufläche"</f>
        <v>Tonnen / 0 m² bewertete Streufläche</v>
      </c>
      <c r="I76" s="86"/>
      <c r="J76" s="61"/>
      <c r="K76" s="98"/>
      <c r="L76" s="303" t="str" cm="1">
        <f t="array" ref="L76">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7" spans="1:14" x14ac:dyDescent="0.25">
      <c r="A77" s="174"/>
      <c r="B77" s="172"/>
      <c r="E77" s="62"/>
      <c r="F77" s="64"/>
      <c r="G77" s="82"/>
      <c r="H77" s="294" t="str">
        <f>"Tonnen / "&amp;Streuflaeche[[#Totals],[Bewertete Streufläche bSF  '[m²'] ]]&amp;" m² bewertete Streufläche"</f>
        <v>Tonnen / 0 m² bewertete Streufläche</v>
      </c>
      <c r="I77" s="86"/>
      <c r="J77" s="61"/>
      <c r="K77" s="316"/>
      <c r="L77" s="303" t="str" cm="1">
        <f t="array" ref="L77">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8" spans="1:14" x14ac:dyDescent="0.25">
      <c r="A78" s="174"/>
      <c r="B78" s="172"/>
      <c r="E78" s="62"/>
      <c r="F78" s="64"/>
      <c r="G78" s="82"/>
      <c r="H78" s="294" t="str">
        <f>"Tonnen / "&amp;Streuflaeche[[#Totals],[Bewertete Streufläche bSF  '[m²'] ]]&amp;" m² bewertete Streufläche"</f>
        <v>Tonnen / 0 m² bewertete Streufläche</v>
      </c>
      <c r="I78" s="86"/>
      <c r="J78" s="61"/>
      <c r="K78" s="316"/>
      <c r="L78" s="303" t="str" cm="1">
        <f t="array" ref="L78">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79" spans="1:14" x14ac:dyDescent="0.25">
      <c r="A79" s="174"/>
      <c r="B79" s="172"/>
      <c r="E79" s="62"/>
      <c r="F79" s="64"/>
      <c r="G79" s="82"/>
      <c r="H79" s="294" t="str">
        <f>"Tonnen / "&amp;Streuflaeche[[#Totals],[Bewertete Streufläche bSF  '[m²'] ]]&amp;" m² bewertete Streufläche"</f>
        <v>Tonnen / 0 m² bewertete Streufläche</v>
      </c>
      <c r="I79" s="86"/>
      <c r="J79" s="61"/>
      <c r="K79" s="98"/>
      <c r="L79" s="303" t="str" cm="1">
        <f t="array" ref="L79">IFERROR(_xlfn.IFS(AND(Eingabe_Ausbringungen_FremdSole[[#This Row],[Bezug von konzentrierter oder anwendungsfertiger Fremdsole ]]="anwendungsfertige Fremdsole",Eingabe_Ausbringungen_FremdSole[[#This Row],[Bezeichnung Streumittel (Sole)]]="Natriumchlorid-Sole"),(Konzentration_NaCl_konz_Fremdsole-Eingabe_Ausbringungen_FremdSole[[#This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(Sole)]]="Magnesiumchlorid-Sole")),(Konzentration_MgCl2_konz_Fremdsole-Eingabe_Ausbringungen_FremdSole[[#This Row],[Anwendungskonzentration der Sole '[Prozent'] 
Falls Sie nur eine Angabe zur Bandbreite der Anwendungskonzentrationen kennen, geben Sie bitte einen Mittelwert an.]]),(AND(Eingabe_Ausbringungen_FremdSole[[#This Row],[Bezug von konzentrierter oder anwendungsfertiger Fremdsole ]]="anwendungsfertige Fremdsole",Eingabe_Ausbringungen_FremdSole[[#This Row],[Bezeichnung Streumittel (Sole)]]="Calciumchlorid-Sole")),(Konzentration_CaCl2_konz_Fremdsole-Eingabe_Ausbringungen_FremdSole[[#This Row],[Anwendungskonzentration der Sole '[Prozent'] 
Falls Sie nur eine Angabe zur Bandbreite der Anwendungskonzentrationen kennen, geben Sie bitte einen Mittelwert an.]]))*Eingabe_Ausbringungen_FremdSole[[#This Row],[Menge an eingesetzter Fremdesole]],"k.A.")</f>
        <v>k.A.</v>
      </c>
    </row>
    <row r="80" spans="1:14" ht="15.6" customHeight="1" x14ac:dyDescent="0.25">
      <c r="A80" s="174"/>
      <c r="B80" s="172"/>
      <c r="E80" s="300" t="s">
        <v>32</v>
      </c>
      <c r="F80" s="300"/>
      <c r="G80" s="302">
        <f>SUBTOTAL(109,Eingabe_Ausbringungen_FremdSole[Menge an eingesetzter Fremdesole])</f>
        <v>0</v>
      </c>
      <c r="H80" s="294" t="str">
        <f>"Tonnen / "&amp;Streuflaeche[[#Totals],[Bewertete Streufläche bSF  '[m²'] ]]&amp;" m² bewertete Streufläche"</f>
        <v>Tonnen / 0 m² bewertete Streufläche</v>
      </c>
      <c r="I80" s="300"/>
      <c r="J80" s="300"/>
      <c r="K80" s="300"/>
      <c r="L80" s="300"/>
    </row>
    <row r="81" spans="1:12" x14ac:dyDescent="0.25">
      <c r="A81" s="174"/>
      <c r="B81" s="172"/>
      <c r="E81" s="182"/>
      <c r="L81" s="161"/>
    </row>
    <row r="82" spans="1:12" ht="18.75" x14ac:dyDescent="0.3">
      <c r="A82" s="174"/>
      <c r="B82" s="172"/>
      <c r="E82" s="176" t="s">
        <v>273</v>
      </c>
      <c r="G82" s="161"/>
    </row>
    <row r="83" spans="1:12" x14ac:dyDescent="0.25">
      <c r="A83" s="174"/>
      <c r="B83" s="172"/>
      <c r="E83" s="141" t="s">
        <v>210</v>
      </c>
      <c r="G83" s="161"/>
    </row>
    <row r="84" spans="1:12" x14ac:dyDescent="0.25">
      <c r="A84" s="174"/>
      <c r="B84" s="172"/>
      <c r="E84" s="140" t="s">
        <v>440</v>
      </c>
      <c r="G84" s="161"/>
    </row>
    <row r="85" spans="1:12" x14ac:dyDescent="0.25">
      <c r="A85" s="174"/>
      <c r="B85" s="172"/>
      <c r="E85" s="140" t="s">
        <v>274</v>
      </c>
      <c r="G85" s="161"/>
    </row>
    <row r="86" spans="1:12" x14ac:dyDescent="0.25">
      <c r="A86" s="174"/>
      <c r="B86" s="172"/>
      <c r="E86" s="140"/>
      <c r="G86" s="161"/>
    </row>
    <row r="87" spans="1:12" ht="28.35" customHeight="1" x14ac:dyDescent="0.25">
      <c r="A87" s="174"/>
      <c r="B87" s="172"/>
      <c r="E87" s="173" t="s">
        <v>209</v>
      </c>
      <c r="F87" s="173" t="s">
        <v>294</v>
      </c>
      <c r="G87" s="173" t="s">
        <v>148</v>
      </c>
      <c r="H87" s="173" t="s">
        <v>41</v>
      </c>
      <c r="I87" s="173" t="s">
        <v>87</v>
      </c>
    </row>
    <row r="88" spans="1:12" x14ac:dyDescent="0.25">
      <c r="A88" s="174"/>
      <c r="B88" s="172"/>
      <c r="C88" s="161"/>
      <c r="E88" s="66"/>
      <c r="F88" s="81"/>
      <c r="G88"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88" s="61"/>
      <c r="I88" s="97"/>
    </row>
    <row r="89" spans="1:12" x14ac:dyDescent="0.25">
      <c r="A89" s="174"/>
      <c r="B89" s="172"/>
      <c r="E89" s="67"/>
      <c r="F89" s="81"/>
      <c r="G89"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89" s="61"/>
      <c r="I89" s="97"/>
    </row>
    <row r="90" spans="1:12" x14ac:dyDescent="0.25">
      <c r="A90" s="174"/>
      <c r="B90" s="172"/>
      <c r="E90" s="67"/>
      <c r="F90" s="81"/>
      <c r="G90"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0" s="61"/>
      <c r="I90" s="97"/>
    </row>
    <row r="91" spans="1:12" x14ac:dyDescent="0.25">
      <c r="A91" s="174"/>
      <c r="B91" s="172"/>
      <c r="E91" s="67"/>
      <c r="F91" s="81"/>
      <c r="G91"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1" s="61"/>
      <c r="I91" s="97"/>
    </row>
    <row r="92" spans="1:12" x14ac:dyDescent="0.25">
      <c r="A92" s="174"/>
      <c r="B92" s="172"/>
      <c r="E92" s="67"/>
      <c r="F92" s="81"/>
      <c r="G92"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2" s="61"/>
      <c r="I92" s="97"/>
    </row>
    <row r="93" spans="1:12" x14ac:dyDescent="0.25">
      <c r="A93" s="174"/>
      <c r="B93" s="172"/>
      <c r="E93" s="67"/>
      <c r="F93" s="81"/>
      <c r="G93"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3" s="61"/>
      <c r="I93" s="97"/>
    </row>
    <row r="94" spans="1:12" x14ac:dyDescent="0.25">
      <c r="A94" s="174"/>
      <c r="B94" s="172"/>
      <c r="C94" s="161"/>
      <c r="E94" s="67"/>
      <c r="F94" s="81"/>
      <c r="G94"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4" s="61"/>
      <c r="I94" s="97"/>
    </row>
    <row r="95" spans="1:12" x14ac:dyDescent="0.25">
      <c r="A95" s="174"/>
      <c r="B95" s="172"/>
      <c r="E95" s="68"/>
      <c r="F95" s="81"/>
      <c r="G95"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5" s="61"/>
      <c r="I95" s="97"/>
    </row>
    <row r="96" spans="1:12" x14ac:dyDescent="0.25">
      <c r="A96" s="174"/>
      <c r="B96" s="172"/>
      <c r="E96" s="67"/>
      <c r="F96" s="81"/>
      <c r="G96"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6" s="61"/>
      <c r="I96" s="97"/>
    </row>
    <row r="97" spans="1:9" x14ac:dyDescent="0.25">
      <c r="A97" s="174"/>
      <c r="B97" s="172"/>
      <c r="E97" s="67"/>
      <c r="F97" s="81"/>
      <c r="G97"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7" s="61"/>
      <c r="I97" s="97"/>
    </row>
    <row r="98" spans="1:9" x14ac:dyDescent="0.25">
      <c r="A98" s="174"/>
      <c r="B98" s="172"/>
      <c r="E98" s="67"/>
      <c r="F98" s="81"/>
      <c r="G98" s="299" t="str">
        <f>IF(OR(Eingabe_Ausbringungen[[#This Row],[Angaben zu den Fahrzeugen (Lkw: zulässiges Gesamtgewicht, Euro Norm, Kraftstoff)]]="Pkw, Erdgas, CNG",Eingabe_Ausbringungen[[#This Row],[Angaben zu den Fahrzeugen (Lkw: zulässiges Gesamtgewicht, Euro Norm, Kraftstoff)]]="Pkw, Erdgas, LNG"),"kg / "&amp;Streuflaeche[[#Totals],[Bewertete Streufläche bSF  '[m²'] ]]&amp;" m² bewertete Streufläche","Liter / "&amp;Streuflaeche[[#Totals],[Bewertete Streufläche bSF  '[m²'] ]]&amp;" m² bewertete Streufläche")</f>
        <v>Liter / 0 m² bewertete Streufläche</v>
      </c>
      <c r="H98" s="61"/>
      <c r="I98" s="97"/>
    </row>
    <row r="99" spans="1:9" ht="12.6" customHeight="1" x14ac:dyDescent="0.25">
      <c r="A99" s="174"/>
      <c r="B99" s="172"/>
    </row>
    <row r="100" spans="1:9" x14ac:dyDescent="0.25">
      <c r="A100" s="174"/>
      <c r="B100" s="172"/>
      <c r="E100" s="161"/>
      <c r="F100" s="142"/>
    </row>
    <row r="101" spans="1:9" x14ac:dyDescent="0.25">
      <c r="A101" s="174"/>
      <c r="B101" s="172"/>
      <c r="E101" s="161"/>
    </row>
    <row r="102" spans="1:9" s="134" customFormat="1" ht="6" customHeight="1" x14ac:dyDescent="0.25"/>
    <row r="103" spans="1:9" ht="23.25" x14ac:dyDescent="0.35">
      <c r="A103" s="185"/>
      <c r="B103" s="164" t="s">
        <v>181</v>
      </c>
      <c r="E103" s="142"/>
    </row>
    <row r="104" spans="1:9" x14ac:dyDescent="0.25">
      <c r="A104" s="185"/>
      <c r="E104" s="153" t="s">
        <v>182</v>
      </c>
    </row>
    <row r="105" spans="1:9" x14ac:dyDescent="0.25">
      <c r="A105" s="185"/>
      <c r="E105" s="132" t="s">
        <v>277</v>
      </c>
    </row>
    <row r="106" spans="1:9" x14ac:dyDescent="0.25">
      <c r="A106" s="185"/>
      <c r="B106" s="142"/>
      <c r="C106" s="142"/>
      <c r="E106" s="146" t="s">
        <v>279</v>
      </c>
    </row>
    <row r="107" spans="1:9" x14ac:dyDescent="0.25">
      <c r="A107" s="185"/>
      <c r="B107" s="142"/>
      <c r="C107" s="142"/>
      <c r="E107" s="132" t="s">
        <v>281</v>
      </c>
    </row>
    <row r="108" spans="1:9" x14ac:dyDescent="0.25">
      <c r="A108" s="185"/>
      <c r="B108" s="142"/>
      <c r="C108" s="142"/>
      <c r="E108" s="146" t="s">
        <v>280</v>
      </c>
    </row>
    <row r="109" spans="1:9" x14ac:dyDescent="0.25">
      <c r="A109" s="185"/>
      <c r="B109" s="142"/>
      <c r="C109" s="142"/>
      <c r="E109" s="132" t="s">
        <v>183</v>
      </c>
    </row>
    <row r="110" spans="1:9" x14ac:dyDescent="0.25">
      <c r="A110" s="185"/>
      <c r="B110" s="142"/>
      <c r="C110" s="142"/>
      <c r="E110" s="132" t="s">
        <v>276</v>
      </c>
    </row>
    <row r="111" spans="1:9" x14ac:dyDescent="0.25">
      <c r="A111" s="185"/>
      <c r="B111" s="142"/>
      <c r="C111" s="142"/>
      <c r="E111" s="132" t="s">
        <v>231</v>
      </c>
      <c r="I111" s="186"/>
    </row>
    <row r="112" spans="1:9" x14ac:dyDescent="0.25">
      <c r="A112" s="185"/>
      <c r="B112" s="142"/>
      <c r="C112" s="142"/>
      <c r="E112" s="132" t="s">
        <v>275</v>
      </c>
    </row>
    <row r="113" spans="1:13" x14ac:dyDescent="0.25">
      <c r="A113" s="185"/>
      <c r="E113" s="132" t="s">
        <v>278</v>
      </c>
    </row>
    <row r="114" spans="1:13" x14ac:dyDescent="0.25">
      <c r="A114" s="185"/>
      <c r="E114" s="146"/>
      <c r="I114" s="161"/>
    </row>
    <row r="115" spans="1:13" ht="60" x14ac:dyDescent="0.25">
      <c r="A115" s="185"/>
      <c r="E115" s="179" t="s">
        <v>157</v>
      </c>
      <c r="F115" s="179" t="s">
        <v>156</v>
      </c>
      <c r="G115" s="179" t="s">
        <v>57</v>
      </c>
      <c r="H115" s="179" t="s">
        <v>216</v>
      </c>
      <c r="I115" s="179" t="s">
        <v>441</v>
      </c>
      <c r="J115" s="179" t="s">
        <v>148</v>
      </c>
      <c r="K115" s="179" t="s">
        <v>217</v>
      </c>
      <c r="L115" s="179" t="s">
        <v>41</v>
      </c>
      <c r="M115" s="187" t="s">
        <v>87</v>
      </c>
    </row>
    <row r="116" spans="1:13" x14ac:dyDescent="0.25">
      <c r="A116" s="185"/>
      <c r="E116" s="61"/>
      <c r="F116" s="61"/>
      <c r="G116" s="61"/>
      <c r="H116" s="87"/>
      <c r="I116" s="82"/>
      <c r="J116" s="304" t="s">
        <v>155</v>
      </c>
      <c r="K116" s="305">
        <f>Eingabe_Antransport[[#This Row],[Transportentfernung, einfache Entfernung (km)]]*Eingabe_Antransport[[#This Row],[Menge an transportiertem Streumittel (Tonnen)]]</f>
        <v>0</v>
      </c>
      <c r="L116" s="63"/>
      <c r="M116" s="313"/>
    </row>
    <row r="117" spans="1:13" x14ac:dyDescent="0.25">
      <c r="A117" s="185"/>
      <c r="E117" s="61"/>
      <c r="F117" s="61"/>
      <c r="G117" s="61"/>
      <c r="H117" s="87"/>
      <c r="I117" s="82"/>
      <c r="J117" s="304" t="s">
        <v>155</v>
      </c>
      <c r="K117" s="305">
        <f>Eingabe_Antransport[[#This Row],[Transportentfernung, einfache Entfernung (km)]]*Eingabe_Antransport[[#This Row],[Menge an transportiertem Streumittel (Tonnen)]]</f>
        <v>0</v>
      </c>
      <c r="L117" s="63"/>
      <c r="M117" s="313"/>
    </row>
    <row r="118" spans="1:13" x14ac:dyDescent="0.25">
      <c r="A118" s="185"/>
      <c r="E118" s="61"/>
      <c r="F118" s="61"/>
      <c r="G118" s="61"/>
      <c r="H118" s="87"/>
      <c r="I118" s="82"/>
      <c r="J118" s="304" t="s">
        <v>155</v>
      </c>
      <c r="K118" s="305">
        <f>Eingabe_Antransport[[#This Row],[Transportentfernung, einfache Entfernung (km)]]*Eingabe_Antransport[[#This Row],[Menge an transportiertem Streumittel (Tonnen)]]</f>
        <v>0</v>
      </c>
      <c r="L118" s="63"/>
      <c r="M118" s="313"/>
    </row>
    <row r="119" spans="1:13" x14ac:dyDescent="0.25">
      <c r="A119" s="185"/>
      <c r="E119" s="61"/>
      <c r="F119" s="61"/>
      <c r="G119" s="61"/>
      <c r="H119" s="87"/>
      <c r="I119" s="82"/>
      <c r="J119" s="304" t="s">
        <v>155</v>
      </c>
      <c r="K119" s="305">
        <f>Eingabe_Antransport[[#This Row],[Transportentfernung, einfache Entfernung (km)]]*Eingabe_Antransport[[#This Row],[Menge an transportiertem Streumittel (Tonnen)]]</f>
        <v>0</v>
      </c>
      <c r="L119" s="63"/>
      <c r="M119" s="313"/>
    </row>
    <row r="120" spans="1:13" x14ac:dyDescent="0.25">
      <c r="A120" s="185"/>
      <c r="E120" s="61"/>
      <c r="F120" s="61"/>
      <c r="G120" s="61"/>
      <c r="H120" s="87"/>
      <c r="I120" s="82"/>
      <c r="J120" s="304" t="s">
        <v>155</v>
      </c>
      <c r="K120" s="305">
        <f>Eingabe_Antransport[[#This Row],[Transportentfernung, einfache Entfernung (km)]]*Eingabe_Antransport[[#This Row],[Menge an transportiertem Streumittel (Tonnen)]]</f>
        <v>0</v>
      </c>
      <c r="L120" s="63"/>
      <c r="M120" s="313"/>
    </row>
    <row r="121" spans="1:13" x14ac:dyDescent="0.25">
      <c r="A121" s="185"/>
      <c r="E121" s="61"/>
      <c r="F121" s="61"/>
      <c r="G121" s="61"/>
      <c r="H121" s="87"/>
      <c r="I121" s="82"/>
      <c r="J121" s="304" t="s">
        <v>155</v>
      </c>
      <c r="K121" s="305">
        <f>Eingabe_Antransport[[#This Row],[Transportentfernung, einfache Entfernung (km)]]*Eingabe_Antransport[[#This Row],[Menge an transportiertem Streumittel (Tonnen)]]</f>
        <v>0</v>
      </c>
      <c r="L121" s="63"/>
      <c r="M121" s="313"/>
    </row>
    <row r="122" spans="1:13" x14ac:dyDescent="0.25">
      <c r="A122" s="185"/>
      <c r="E122" s="61"/>
      <c r="F122" s="61"/>
      <c r="G122" s="61"/>
      <c r="H122" s="87"/>
      <c r="I122" s="82"/>
      <c r="J122" s="304" t="s">
        <v>155</v>
      </c>
      <c r="K122" s="305">
        <f>Eingabe_Antransport[[#This Row],[Transportentfernung, einfache Entfernung (km)]]*Eingabe_Antransport[[#This Row],[Menge an transportiertem Streumittel (Tonnen)]]</f>
        <v>0</v>
      </c>
      <c r="L122" s="63"/>
      <c r="M122" s="313"/>
    </row>
    <row r="123" spans="1:13" x14ac:dyDescent="0.25">
      <c r="A123" s="185"/>
      <c r="E123" s="61"/>
      <c r="F123" s="61"/>
      <c r="G123" s="61"/>
      <c r="H123" s="87"/>
      <c r="I123" s="82"/>
      <c r="J123" s="304" t="s">
        <v>155</v>
      </c>
      <c r="K123" s="305">
        <f>Eingabe_Antransport[[#This Row],[Transportentfernung, einfache Entfernung (km)]]*Eingabe_Antransport[[#This Row],[Menge an transportiertem Streumittel (Tonnen)]]</f>
        <v>0</v>
      </c>
      <c r="L123" s="63"/>
      <c r="M123" s="313"/>
    </row>
    <row r="124" spans="1:13" x14ac:dyDescent="0.25">
      <c r="A124" s="185"/>
      <c r="E124" s="61"/>
      <c r="F124" s="61"/>
      <c r="G124" s="61"/>
      <c r="H124" s="87"/>
      <c r="I124" s="82"/>
      <c r="J124" s="304" t="s">
        <v>155</v>
      </c>
      <c r="K124" s="305">
        <f>Eingabe_Antransport[[#This Row],[Transportentfernung, einfache Entfernung (km)]]*Eingabe_Antransport[[#This Row],[Menge an transportiertem Streumittel (Tonnen)]]</f>
        <v>0</v>
      </c>
      <c r="L124" s="63"/>
      <c r="M124" s="313"/>
    </row>
    <row r="125" spans="1:13" x14ac:dyDescent="0.25">
      <c r="A125" s="185"/>
      <c r="E125" s="90"/>
      <c r="F125" s="61"/>
      <c r="G125" s="61"/>
      <c r="H125" s="87"/>
      <c r="I125" s="88"/>
      <c r="J125" s="304" t="s">
        <v>155</v>
      </c>
      <c r="K125" s="305">
        <f>Eingabe_Antransport[[#This Row],[Transportentfernung, einfache Entfernung (km)]]*Eingabe_Antransport[[#This Row],[Menge an transportiertem Streumittel (Tonnen)]]</f>
        <v>0</v>
      </c>
      <c r="L125" s="63"/>
      <c r="M125" s="313"/>
    </row>
    <row r="126" spans="1:13" x14ac:dyDescent="0.25">
      <c r="A126" s="185"/>
      <c r="E126" s="61"/>
      <c r="F126" s="61"/>
      <c r="G126" s="61"/>
      <c r="H126" s="87"/>
      <c r="I126" s="82"/>
      <c r="J126" s="304" t="s">
        <v>155</v>
      </c>
      <c r="K126" s="305">
        <f>Eingabe_Antransport[[#This Row],[Transportentfernung, einfache Entfernung (km)]]*Eingabe_Antransport[[#This Row],[Menge an transportiertem Streumittel (Tonnen)]]</f>
        <v>0</v>
      </c>
      <c r="L126" s="63"/>
      <c r="M126" s="313"/>
    </row>
    <row r="127" spans="1:13" x14ac:dyDescent="0.25">
      <c r="A127" s="185"/>
      <c r="E127" s="189"/>
      <c r="F127" s="61"/>
      <c r="G127" s="61"/>
      <c r="H127" s="87"/>
      <c r="I127" s="88"/>
      <c r="J127" s="304"/>
      <c r="K127" s="306"/>
      <c r="L127" s="190"/>
      <c r="M127" s="313"/>
    </row>
    <row r="128" spans="1:13" x14ac:dyDescent="0.25">
      <c r="A128" s="185"/>
      <c r="E128" s="300" t="s">
        <v>32</v>
      </c>
      <c r="F128" s="300"/>
      <c r="G128" s="300"/>
      <c r="H128" s="300"/>
      <c r="I128" s="312">
        <f>SUBTOTAL(109,Eingabe_Antransport[Menge an transportiertem Streumittel (Tonnen)])</f>
        <v>0</v>
      </c>
      <c r="J128" s="304" t="s">
        <v>155</v>
      </c>
      <c r="K128" s="305"/>
      <c r="L128" s="300"/>
      <c r="M128" s="303"/>
    </row>
    <row r="129" spans="1:1" x14ac:dyDescent="0.25">
      <c r="A129" s="185"/>
    </row>
    <row r="130" spans="1:1" x14ac:dyDescent="0.25">
      <c r="A130" s="185"/>
    </row>
  </sheetData>
  <sheetProtection algorithmName="SHA-512" hashValue="0QH+/bkRCnh6nlDnDvrnqQExu4Di+k6GUZcp67qqEHAjFqaqY4923syHzXptyGD5Rtz/ztg0yQJbBq+/YJyjLA==" saltValue="z0tMqORfD0/8U0vDKYDz9A==" spinCount="100000" sheet="1" objects="1" scenarios="1"/>
  <dataConsolidate/>
  <mergeCells count="2">
    <mergeCell ref="E13:I13"/>
    <mergeCell ref="E12:I12"/>
  </mergeCells>
  <phoneticPr fontId="22" type="noConversion"/>
  <conditionalFormatting sqref="G39:G41">
    <cfRule type="expression" dxfId="336" priority="29">
      <formula>$G39="Nutzerangabe"</formula>
    </cfRule>
  </conditionalFormatting>
  <conditionalFormatting sqref="G56:G61">
    <cfRule type="expression" dxfId="335" priority="17">
      <formula>#REF!="Nutzerangabe"</formula>
    </cfRule>
  </conditionalFormatting>
  <conditionalFormatting sqref="H69:I79">
    <cfRule type="expression" dxfId="334" priority="16">
      <formula>#REF!="Nutzerangabe"</formula>
    </cfRule>
  </conditionalFormatting>
  <conditionalFormatting sqref="G55">
    <cfRule type="expression" dxfId="333" priority="31">
      <formula>$H48="Nutzerangabe"</formula>
    </cfRule>
  </conditionalFormatting>
  <conditionalFormatting sqref="G43">
    <cfRule type="expression" dxfId="332" priority="6">
      <formula>$G43="Nutzerangabe"</formula>
    </cfRule>
  </conditionalFormatting>
  <conditionalFormatting sqref="G33">
    <cfRule type="expression" dxfId="331" priority="5">
      <formula>$G33="Nutzerangabe"</formula>
    </cfRule>
  </conditionalFormatting>
  <conditionalFormatting sqref="H80">
    <cfRule type="expression" dxfId="330" priority="4">
      <formula>#REF!="Nutzerangabe"</formula>
    </cfRule>
  </conditionalFormatting>
  <conditionalFormatting sqref="G63">
    <cfRule type="expression" dxfId="329" priority="3">
      <formula>#REF!="Nutzerangabe"</formula>
    </cfRule>
  </conditionalFormatting>
  <conditionalFormatting sqref="G38">
    <cfRule type="expression" dxfId="328" priority="2">
      <formula>$G38="Nutzerangabe"</formula>
    </cfRule>
  </conditionalFormatting>
  <conditionalFormatting sqref="G42">
    <cfRule type="expression" dxfId="327" priority="1">
      <formula>$G42="Nutzerangabe"</formula>
    </cfRule>
  </conditionalFormatting>
  <dataValidations count="6">
    <dataValidation type="list" allowBlank="1" showInputMessage="1" showErrorMessage="1" sqref="H100" xr:uid="{F6744540-BD3B-46F7-ADA5-7EF06ABD6801}">
      <formula1>Datenqualität</formula1>
    </dataValidation>
    <dataValidation type="list" allowBlank="1" showInputMessage="1" showErrorMessage="1" sqref="H33 J69:J79 H88:H98 H38:H43 H23:H28 L116:L127 H55:H62" xr:uid="{025950C6-2982-4317-AE26-1B5496D922CD}">
      <formula1>Datenqualitaet</formula1>
    </dataValidation>
    <dataValidation allowBlank="1" showErrorMessage="1" promptTitle="Hinweis:" prompt="Kraftstoffe für Ausbringungen werden unter Punkt 3 behandelt." sqref="D27" xr:uid="{687A7FCF-3543-4F8B-BAD5-5A7A9B3625DB}"/>
    <dataValidation type="list" allowBlank="1" showInputMessage="1" showErrorMessage="1" sqref="F69:F79" xr:uid="{750868A5-3A5E-4606-BA47-30842D7B3BC3}">
      <formula1>Zustand_Fremdsole</formula1>
    </dataValidation>
    <dataValidation type="list" allowBlank="1" showInputMessage="1" showErrorMessage="1" sqref="G116:G127" xr:uid="{B6006DAB-9CD2-44DC-93BA-80A0EE5F9668}">
      <formula1>Transportmittel_AntransportStreumittel</formula1>
    </dataValidation>
    <dataValidation type="list" allowBlank="1" showInputMessage="1" showErrorMessage="1" sqref="E88:E98" xr:uid="{2BF18414-E7BD-436C-87A1-C601BF13DDD0}">
      <formula1>Auswahl_Lkw_pkw</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7169" r:id="rId4" name="Add_Zeile_Brennstoff">
          <controlPr defaultSize="0" autoLine="0" r:id="rId5">
            <anchor moveWithCells="1" sizeWithCells="1">
              <from>
                <xdr:col>2</xdr:col>
                <xdr:colOff>733425</xdr:colOff>
                <xdr:row>29</xdr:row>
                <xdr:rowOff>0</xdr:rowOff>
              </from>
              <to>
                <xdr:col>3</xdr:col>
                <xdr:colOff>219075</xdr:colOff>
                <xdr:row>29</xdr:row>
                <xdr:rowOff>0</xdr:rowOff>
              </to>
            </anchor>
          </controlPr>
        </control>
      </mc:Choice>
      <mc:Fallback>
        <control shapeId="7169" r:id="rId4" name="Add_Zeile_Brennstoff"/>
      </mc:Fallback>
    </mc:AlternateContent>
  </controls>
  <tableParts count="7">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4">
        <x14:dataValidation type="list" allowBlank="1" showInputMessage="1" showErrorMessage="1" xr:uid="{EC093893-D78E-4F51-9C6B-703365A9C81A}">
          <x14:formula1>
            <xm:f>Emissionsfaktoren!$L$9:$L$10</xm:f>
          </x14:formula1>
          <xm:sqref>F19:F20</xm:sqref>
        </x14:dataValidation>
        <x14:dataValidation type="list" allowBlank="1" showInputMessage="1" showErrorMessage="1" xr:uid="{8895465D-C6CE-400F-B467-45C5799A4467}">
          <x14:formula1>
            <xm:f>Emissionsfaktoren!$L$15:$L$17</xm:f>
          </x14:formula1>
          <xm:sqref>E69:E79</xm:sqref>
        </x14:dataValidation>
        <x14:dataValidation type="list" allowBlank="1" showInputMessage="1" showErrorMessage="1" xr:uid="{47CD2603-D1EC-4055-A95E-FFF23D6F5591}">
          <x14:formula1>
            <xm:f>Emissionsfaktoren!$L$15:$L$22</xm:f>
          </x14:formula1>
          <xm:sqref>F116:F127</xm:sqref>
        </x14:dataValidation>
        <x14:dataValidation type="list" allowBlank="1" showInputMessage="1" showErrorMessage="1" xr:uid="{DA73E882-80DE-480F-BA27-C157896B3612}">
          <x14:formula1>
            <xm:f>Ergebnisse!$C$91:$C$95</xm:f>
          </x14:formula1>
          <xm:sqref>E55:E62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3D22-3F35-40BF-AD50-AABB69DD6E0E}">
  <sheetPr codeName="Ergebnisse">
    <tabColor rgb="FF00B0F0"/>
  </sheetPr>
  <dimension ref="A5:P237"/>
  <sheetViews>
    <sheetView showGridLines="0" zoomScale="40" zoomScaleNormal="40" zoomScaleSheetLayoutView="46" workbookViewId="0">
      <pane ySplit="5" topLeftCell="A6" activePane="bottomLeft" state="frozen"/>
      <selection activeCell="C25" sqref="C25:G25"/>
      <selection pane="bottomLeft" activeCell="A12" sqref="A12"/>
    </sheetView>
  </sheetViews>
  <sheetFormatPr baseColWidth="10" defaultColWidth="8.85546875" defaultRowHeight="21" x14ac:dyDescent="0.35"/>
  <cols>
    <col min="1" max="1" width="2.5703125" style="91" customWidth="1"/>
    <col min="2" max="2" width="8.5703125" style="91" customWidth="1"/>
    <col min="3" max="3" width="120.42578125" style="95" customWidth="1"/>
    <col min="4" max="4" width="50.5703125" style="91" customWidth="1"/>
    <col min="5" max="5" width="43.42578125" style="91" customWidth="1"/>
    <col min="6" max="6" width="46.42578125" style="91" customWidth="1"/>
    <col min="7" max="7" width="48.42578125" style="91" customWidth="1"/>
    <col min="8" max="8" width="47.5703125" style="91" customWidth="1"/>
    <col min="9" max="9" width="17.42578125" style="91" customWidth="1"/>
    <col min="10" max="10" width="31.42578125" style="91" customWidth="1"/>
    <col min="11" max="11" width="21.5703125" style="91" customWidth="1"/>
    <col min="12" max="12" width="14.42578125" style="91" customWidth="1"/>
    <col min="13" max="13" width="13.140625" style="91" customWidth="1"/>
    <col min="14" max="14" width="12" style="91" customWidth="1"/>
    <col min="15" max="15" width="10.5703125" style="91" customWidth="1"/>
    <col min="16" max="16" width="17.42578125" style="91" customWidth="1"/>
    <col min="17" max="16384" width="8.85546875" style="91"/>
  </cols>
  <sheetData>
    <row r="5" spans="3:8" s="103" customFormat="1" ht="21.75" thickBot="1" x14ac:dyDescent="0.4">
      <c r="C5" s="102"/>
    </row>
    <row r="6" spans="3:8" ht="28.5" x14ac:dyDescent="0.45">
      <c r="C6" s="366" t="s">
        <v>257</v>
      </c>
      <c r="D6" s="370">
        <f>'Eingabe Untersuchungsrahmen'!D11</f>
        <v>0</v>
      </c>
      <c r="E6" s="370"/>
      <c r="F6" s="370"/>
      <c r="G6" s="370"/>
      <c r="H6" s="370"/>
    </row>
    <row r="7" spans="3:8" ht="28.5" x14ac:dyDescent="0.45">
      <c r="C7" s="366" t="s">
        <v>295</v>
      </c>
      <c r="D7" s="370">
        <f>'Eingabe Untersuchungsrahmen'!D12</f>
        <v>0</v>
      </c>
      <c r="E7" s="370"/>
      <c r="F7" s="370"/>
      <c r="G7" s="370"/>
      <c r="H7" s="370"/>
    </row>
    <row r="8" spans="3:8" ht="28.5" x14ac:dyDescent="0.45">
      <c r="C8" s="366" t="s">
        <v>40</v>
      </c>
      <c r="D8" s="370">
        <f>'Eingabe Untersuchungsrahmen'!D13</f>
        <v>0</v>
      </c>
      <c r="E8" s="370"/>
      <c r="F8" s="370"/>
      <c r="G8" s="370"/>
      <c r="H8" s="370"/>
    </row>
    <row r="9" spans="3:8" ht="28.5" x14ac:dyDescent="0.45">
      <c r="C9" s="366" t="s">
        <v>296</v>
      </c>
      <c r="D9" s="370">
        <f>'Eingabe Untersuchungsrahmen'!D14</f>
        <v>0</v>
      </c>
      <c r="E9" s="370"/>
      <c r="F9" s="370"/>
      <c r="G9" s="370"/>
      <c r="H9" s="370"/>
    </row>
    <row r="10" spans="3:8" ht="28.5" x14ac:dyDescent="0.45">
      <c r="C10" s="366" t="s">
        <v>83</v>
      </c>
      <c r="D10" s="370">
        <f>'Eingabe Untersuchungsrahmen'!D15</f>
        <v>0</v>
      </c>
      <c r="E10" s="370"/>
      <c r="F10" s="370"/>
      <c r="G10" s="370"/>
      <c r="H10" s="370"/>
    </row>
    <row r="11" spans="3:8" ht="28.5" x14ac:dyDescent="0.45">
      <c r="C11" s="366" t="s">
        <v>19</v>
      </c>
      <c r="D11" s="425">
        <f>'Eingabe Untersuchungsrahmen'!D16</f>
        <v>45261</v>
      </c>
      <c r="E11" s="426"/>
      <c r="F11" s="426"/>
      <c r="G11" s="370"/>
      <c r="H11" s="370"/>
    </row>
    <row r="12" spans="3:8" ht="28.5" x14ac:dyDescent="0.45">
      <c r="C12" s="366" t="s">
        <v>298</v>
      </c>
      <c r="D12" s="370" t="str">
        <f>"Die funktionelle Einheit dieser Ökobilanz ist  "&amp;Streuflaeche[[#Totals],[Bewertete Streufläche bSF  '[m²'] ]]&amp;" m² bewertete Streufläche im Bilanzzeitraum "&amp;TEXT('Eingabe Untersuchungsrahmen'!E42, "TT.MM.JJJJ")&amp;"-"&amp;TEXT('Eingabe Untersuchungsrahmen'!E43, "TT.MM.JJJJ")</f>
        <v>Die funktionelle Einheit dieser Ökobilanz ist  0 m² bewertete Streufläche im Bilanzzeitraum 01.11.2023-30.11.2023</v>
      </c>
      <c r="E12" s="370"/>
      <c r="F12" s="370"/>
      <c r="G12" s="370"/>
      <c r="H12" s="370"/>
    </row>
    <row r="13" spans="3:8" s="104" customFormat="1" ht="28.5" x14ac:dyDescent="0.45">
      <c r="C13" s="366"/>
      <c r="D13" s="371"/>
      <c r="E13" s="366"/>
      <c r="F13" s="366"/>
      <c r="G13" s="366"/>
      <c r="H13" s="366"/>
    </row>
    <row r="14" spans="3:8" s="104" customFormat="1" ht="28.5" x14ac:dyDescent="0.45">
      <c r="C14" s="367" t="str">
        <f>'Eingabe Untersuchungsrahmen'!C51</f>
        <v>Winterdienst:</v>
      </c>
      <c r="D14" s="371"/>
      <c r="E14" s="366"/>
      <c r="F14" s="366"/>
      <c r="G14" s="366"/>
      <c r="H14" s="366"/>
    </row>
    <row r="15" spans="3:8" ht="99" customHeight="1" x14ac:dyDescent="0.35">
      <c r="C15" s="368" t="str">
        <f>'Eingabe Untersuchungsrahmen'!C52</f>
        <v>Anteile Trockensalz, FS 30 und FS 100 der betrachteten Winterdienstaktivitäten (Einsätze in Prozent, geschätzt)</v>
      </c>
      <c r="D15" s="424" t="str">
        <f>IF('Eingabe Untersuchungsrahmen'!E52="","k.A.",WD_Info_Salz)</f>
        <v>k.A.</v>
      </c>
      <c r="E15" s="424"/>
      <c r="F15" s="424"/>
      <c r="G15" s="424"/>
      <c r="H15" s="424"/>
    </row>
    <row r="16" spans="3:8" ht="99" customHeight="1" x14ac:dyDescent="0.35">
      <c r="C16" s="368" t="str">
        <f>'Eingabe Untersuchungsrahmen'!C53</f>
        <v>Anteile präventiver und kurativer Maßnahmen der betrachteten Winterdienstaktivitäten (Einsätze in Prozent, geschätzt)</v>
      </c>
      <c r="D16" s="424" t="str">
        <f>IF('Eingabe Untersuchungsrahmen'!E53="","k.A.",WD_Info_P_K_Maßnahmen)</f>
        <v>k.A.</v>
      </c>
      <c r="E16" s="424"/>
      <c r="F16" s="424"/>
      <c r="G16" s="424"/>
      <c r="H16" s="424"/>
    </row>
    <row r="17" spans="1:9" ht="99" customHeight="1" x14ac:dyDescent="0.35">
      <c r="C17" s="368" t="str">
        <f>'Eingabe Untersuchungsrahmen'!C54</f>
        <v xml:space="preserve">Besonderheiten in Bezug auf die verwendeten Fahrzeuge und die eingesetzte Streutechnik </v>
      </c>
      <c r="D17" s="424" t="str">
        <f>IF('Eingabe Untersuchungsrahmen'!E54="","k.A.",WD_Info_Technik)</f>
        <v>k.A.</v>
      </c>
      <c r="E17" s="424"/>
      <c r="F17" s="424"/>
      <c r="G17" s="424"/>
      <c r="H17" s="424"/>
    </row>
    <row r="18" spans="1:9" ht="99" customHeight="1" x14ac:dyDescent="0.35">
      <c r="C18" s="368" t="str">
        <f>'Eingabe Untersuchungsrahmen'!C55</f>
        <v>Sonstige Besonderheiten in Bezug auf den durchgeführten Winterdienst</v>
      </c>
      <c r="D18" s="424" t="str">
        <f>IF('Eingabe Untersuchungsrahmen'!E55="","k.A.",WD_Info_Besonderheiten_WD)</f>
        <v>k.A.</v>
      </c>
      <c r="E18" s="424"/>
      <c r="F18" s="424"/>
      <c r="G18" s="424"/>
      <c r="H18" s="424"/>
    </row>
    <row r="19" spans="1:9" ht="57" x14ac:dyDescent="0.35">
      <c r="C19" s="368" t="str">
        <f>'Eingabe Untersuchungsrahmen'!C56</f>
        <v>Gibt es interne Salz- und Soletransporte sowie Umschlagsprozesse? Wenn ja, diese bitte kurz beschreiben.</v>
      </c>
      <c r="D19" s="424" t="str">
        <f>IF('Eingabe Untersuchungsrahmen'!E56="","k.A.",WD_info_interne_Transport_Umschlag)</f>
        <v>k.A.</v>
      </c>
      <c r="E19" s="424"/>
      <c r="F19" s="424"/>
      <c r="G19" s="424"/>
      <c r="H19" s="424"/>
    </row>
    <row r="20" spans="1:9" s="104" customFormat="1" ht="28.5" x14ac:dyDescent="0.45">
      <c r="C20" s="366"/>
      <c r="D20" s="371"/>
      <c r="E20" s="366"/>
      <c r="F20" s="366"/>
      <c r="G20" s="366"/>
      <c r="H20" s="366"/>
    </row>
    <row r="21" spans="1:9" s="104" customFormat="1" ht="28.5" x14ac:dyDescent="0.45">
      <c r="C21" s="367" t="str">
        <f>'Eingabe Untersuchungsrahmen'!C58</f>
        <v xml:space="preserve">Wetter- und Straßenbedingungen: </v>
      </c>
      <c r="D21" s="371"/>
      <c r="E21" s="366"/>
      <c r="F21" s="366"/>
      <c r="G21" s="366"/>
      <c r="H21" s="366"/>
    </row>
    <row r="22" spans="1:9" ht="99" customHeight="1" x14ac:dyDescent="0.35">
      <c r="C22" s="369" t="str">
        <f>'Eingabe Untersuchungsrahmen'!C59</f>
        <v>Schneefallereignisse (z.B. Häufigkeit, Dauer/Zeitpunkt und Schwere)</v>
      </c>
      <c r="D22" s="424" t="str">
        <f>IF('Eingabe Untersuchungsrahmen'!E59="","k.A.",WD_Info_Schnee)</f>
        <v>k.A.</v>
      </c>
      <c r="E22" s="424"/>
      <c r="F22" s="424"/>
      <c r="G22" s="424"/>
      <c r="H22" s="424"/>
    </row>
    <row r="23" spans="1:9" ht="99" customHeight="1" x14ac:dyDescent="0.35">
      <c r="C23" s="369" t="str">
        <f>'Eingabe Untersuchungsrahmen'!C60</f>
        <v xml:space="preserve">Reifglätte (z.B. Häufigkeit, Dauer/Zeitpunkt und Schwere) </v>
      </c>
      <c r="D23" s="424" t="str">
        <f>IF('Eingabe Untersuchungsrahmen'!E60="","k.A.",WD_Info_Eis)</f>
        <v>k.A.</v>
      </c>
      <c r="E23" s="424"/>
      <c r="F23" s="424"/>
      <c r="G23" s="424"/>
      <c r="H23" s="424"/>
    </row>
    <row r="24" spans="1:9" ht="99" customHeight="1" x14ac:dyDescent="0.35">
      <c r="C24" s="369" t="str">
        <f>'Eingabe Untersuchungsrahmen'!C61</f>
        <v xml:space="preserve">Eisglätte (z.B. Häufigkeit, Dauer/Zeitpunkt und Schwere) </v>
      </c>
      <c r="D24" s="424" t="str">
        <f>IF('Eingabe Untersuchungsrahmen'!E61="","k.A.",WD_Info_Glatt)</f>
        <v>k.A.</v>
      </c>
      <c r="E24" s="424"/>
      <c r="F24" s="424"/>
      <c r="G24" s="424"/>
      <c r="H24" s="424"/>
    </row>
    <row r="25" spans="1:9" ht="99" customHeight="1" x14ac:dyDescent="0.35">
      <c r="C25" s="369" t="str">
        <f>'Eingabe Untersuchungsrahmen'!C62</f>
        <v xml:space="preserve">Sonstige Besonderheiten der Wetterbedingungen </v>
      </c>
      <c r="D25" s="424" t="str">
        <f>IF('Eingabe Untersuchungsrahmen'!E62="","k.A.",WD_Info_Wetter)</f>
        <v>k.A.</v>
      </c>
      <c r="E25" s="424"/>
      <c r="F25" s="424"/>
      <c r="G25" s="424"/>
      <c r="H25" s="424"/>
    </row>
    <row r="26" spans="1:9" ht="99" customHeight="1" x14ac:dyDescent="0.35">
      <c r="C26" s="369" t="str">
        <f>'Eingabe Untersuchungsrahmen'!C63</f>
        <v>Besonderheiten in Bezug auf den Verkehr / die Verkehrsbedingungen</v>
      </c>
      <c r="D26" s="424" t="str">
        <f>IF('Eingabe Untersuchungsrahmen'!E63="","k.A.",WD_Info_Besonderheiten_Verkehr)</f>
        <v>k.A.</v>
      </c>
      <c r="E26" s="424"/>
      <c r="F26" s="424"/>
      <c r="G26" s="424"/>
      <c r="H26" s="424"/>
    </row>
    <row r="27" spans="1:9" x14ac:dyDescent="0.35">
      <c r="B27" s="92"/>
      <c r="C27" s="93"/>
      <c r="D27" s="92"/>
      <c r="H27" s="94"/>
    </row>
    <row r="28" spans="1:9" s="105" customFormat="1" x14ac:dyDescent="0.35"/>
    <row r="29" spans="1:9" ht="28.5" x14ac:dyDescent="0.45">
      <c r="A29" s="106"/>
      <c r="B29" s="321" t="s">
        <v>175</v>
      </c>
      <c r="C29" s="330"/>
      <c r="D29" s="318"/>
      <c r="E29" s="318"/>
      <c r="F29" s="318"/>
      <c r="G29" s="318"/>
      <c r="H29" s="318"/>
      <c r="I29" s="318"/>
    </row>
    <row r="30" spans="1:9" ht="27.75" x14ac:dyDescent="0.45">
      <c r="A30" s="106"/>
      <c r="B30" s="318"/>
      <c r="C30" s="332" t="s">
        <v>292</v>
      </c>
      <c r="D30" s="333"/>
      <c r="E30" s="333"/>
      <c r="F30" s="333"/>
      <c r="G30" s="318"/>
      <c r="H30" s="318"/>
      <c r="I30" s="318"/>
    </row>
    <row r="31" spans="1:9" ht="27.75" x14ac:dyDescent="0.45">
      <c r="A31" s="106"/>
      <c r="B31" s="318"/>
      <c r="C31" s="334" t="s">
        <v>409</v>
      </c>
      <c r="D31" s="333"/>
      <c r="E31" s="333"/>
      <c r="F31" s="333"/>
      <c r="G31" s="318"/>
      <c r="H31" s="318"/>
      <c r="I31" s="318"/>
    </row>
    <row r="32" spans="1:9" ht="27.75" x14ac:dyDescent="0.45">
      <c r="A32" s="106"/>
      <c r="B32" s="318"/>
      <c r="C32" s="334" t="s">
        <v>410</v>
      </c>
      <c r="D32" s="333"/>
      <c r="E32" s="333"/>
      <c r="F32" s="333"/>
      <c r="G32" s="318"/>
      <c r="H32" s="318"/>
      <c r="I32" s="318"/>
    </row>
    <row r="33" spans="1:9" ht="27.75" x14ac:dyDescent="0.45">
      <c r="A33" s="106"/>
      <c r="B33" s="318"/>
      <c r="C33" s="334"/>
      <c r="D33" s="333"/>
      <c r="E33" s="333"/>
      <c r="F33" s="333"/>
      <c r="G33" s="318"/>
      <c r="H33" s="318"/>
      <c r="I33" s="318"/>
    </row>
    <row r="34" spans="1:9" ht="86.25" x14ac:dyDescent="0.45">
      <c r="A34" s="106"/>
      <c r="B34" s="319"/>
      <c r="C34" s="337" t="s">
        <v>56</v>
      </c>
      <c r="D34" s="337" t="s">
        <v>176</v>
      </c>
      <c r="E34" s="342" t="s">
        <v>389</v>
      </c>
      <c r="F34" s="342" t="s">
        <v>390</v>
      </c>
      <c r="G34" s="342" t="s">
        <v>391</v>
      </c>
      <c r="H34" s="342" t="s">
        <v>392</v>
      </c>
      <c r="I34" s="318"/>
    </row>
    <row r="35" spans="1:9" ht="27.75" x14ac:dyDescent="0.45">
      <c r="A35" s="106"/>
      <c r="B35" s="319"/>
      <c r="C35" s="343" t="str">
        <f>Streuflaeche[[#Totals],[Bewertete Streufläche bSF  '[m²'] ]] &amp;" m² bewertete Streufläche im Bilanzzeitraum "&amp;TEXT('Eingabe Untersuchungsrahmen'!E42, "TT.MM.JJJJ")&amp;"-"&amp;TEXT('Eingabe Untersuchungsrahmen'!E43, "TT.MM.JJJJ")</f>
        <v>0 m² bewertete Streufläche im Bilanzzeitraum 01.11.2023-30.11.2023</v>
      </c>
      <c r="D35" s="344">
        <f>Ergebnis_Absolut[[#Totals],[Kumulierter Energie Aufwand
(MJ / funktionelle Einheit)]]</f>
        <v>0</v>
      </c>
      <c r="E35" s="344">
        <f>Ergebnis_Absolut[[#Totals],[Treibhauspotenzial 
(kg CO2-Äq / funktionelle Einheit)]]</f>
        <v>0</v>
      </c>
      <c r="F35" s="344">
        <f>Ergebnis_Absolut[[#Totals],[Versauerungspotenzial
(mol H+-Äq/ funktionelle Einheit)]]</f>
        <v>0</v>
      </c>
      <c r="G35" s="344">
        <f>Ergebnis_Absolut[[#Totals],[Ozonabbaupotenzial
(kg CFC11-Äq / funktionelle Einheit)]]</f>
        <v>0</v>
      </c>
      <c r="H35" s="344">
        <f>Ergebnis_Absolut[[#Totals],[Photooxidantienpotenzial 
(kg NMVOC-Äq / funktionelle Einheit)]]</f>
        <v>0</v>
      </c>
      <c r="I35" s="318"/>
    </row>
    <row r="36" spans="1:9" ht="27.75" x14ac:dyDescent="0.45">
      <c r="A36" s="106"/>
      <c r="B36" s="319"/>
      <c r="C36" s="343" t="s">
        <v>393</v>
      </c>
      <c r="D36" s="344" t="e" cm="1">
        <f t="array" ref="D36">D35/FU_bSF</f>
        <v>#DIV/0!</v>
      </c>
      <c r="E36" s="344" t="e" cm="1">
        <f t="array" ref="E36">E35/FU_bSF</f>
        <v>#DIV/0!</v>
      </c>
      <c r="F36" s="344" t="e" cm="1">
        <f t="array" ref="F36">F35/FU_bSF</f>
        <v>#DIV/0!</v>
      </c>
      <c r="G36" s="344" t="e" cm="1">
        <f t="array" ref="G36">G35/FU_bSF</f>
        <v>#DIV/0!</v>
      </c>
      <c r="H36" s="344" t="e" cm="1">
        <f t="array" ref="H36">H35/FU_bSF</f>
        <v>#DIV/0!</v>
      </c>
      <c r="I36" s="318"/>
    </row>
    <row r="37" spans="1:9" ht="23.25" x14ac:dyDescent="0.35">
      <c r="A37" s="106"/>
      <c r="B37" s="319"/>
      <c r="C37" s="317"/>
      <c r="D37" s="318"/>
      <c r="E37" s="318"/>
      <c r="F37" s="318"/>
      <c r="G37" s="318"/>
      <c r="H37" s="320"/>
      <c r="I37" s="318"/>
    </row>
    <row r="38" spans="1:9" ht="23.25" x14ac:dyDescent="0.35">
      <c r="A38" s="106"/>
      <c r="B38" s="319"/>
      <c r="C38" s="317"/>
      <c r="D38" s="318"/>
      <c r="E38" s="318"/>
      <c r="F38" s="318"/>
      <c r="G38" s="318"/>
      <c r="H38" s="320"/>
      <c r="I38" s="318"/>
    </row>
    <row r="39" spans="1:9" ht="27.75" x14ac:dyDescent="0.45">
      <c r="A39" s="106"/>
      <c r="B39" s="319"/>
      <c r="C39" s="335" t="s">
        <v>288</v>
      </c>
      <c r="D39" s="333"/>
      <c r="E39" s="333"/>
      <c r="F39" s="333"/>
      <c r="G39" s="333"/>
      <c r="H39" s="336"/>
      <c r="I39" s="318"/>
    </row>
    <row r="40" spans="1:9" ht="27.75" x14ac:dyDescent="0.45">
      <c r="A40" s="106"/>
      <c r="B40" s="319"/>
      <c r="C40" s="334" t="s">
        <v>289</v>
      </c>
      <c r="D40" s="333"/>
      <c r="E40" s="333"/>
      <c r="F40" s="333"/>
      <c r="G40" s="333"/>
      <c r="H40" s="336"/>
      <c r="I40" s="318"/>
    </row>
    <row r="41" spans="1:9" ht="27.75" x14ac:dyDescent="0.45">
      <c r="A41" s="106"/>
      <c r="B41" s="319"/>
      <c r="C41" s="334" t="s">
        <v>383</v>
      </c>
      <c r="D41" s="333"/>
      <c r="E41" s="333"/>
      <c r="F41" s="333"/>
      <c r="G41" s="333"/>
      <c r="H41" s="336"/>
      <c r="I41" s="318"/>
    </row>
    <row r="42" spans="1:9" ht="27.75" x14ac:dyDescent="0.45">
      <c r="A42" s="106"/>
      <c r="B42" s="319"/>
      <c r="C42" s="334" t="s">
        <v>384</v>
      </c>
      <c r="D42" s="333"/>
      <c r="E42" s="333"/>
      <c r="F42" s="333"/>
      <c r="G42" s="333"/>
      <c r="H42" s="336"/>
      <c r="I42" s="318"/>
    </row>
    <row r="43" spans="1:9" ht="27.75" x14ac:dyDescent="0.45">
      <c r="A43" s="106"/>
      <c r="B43" s="319"/>
      <c r="C43" s="334" t="s">
        <v>394</v>
      </c>
      <c r="D43" s="333"/>
      <c r="E43" s="333"/>
      <c r="F43" s="333"/>
      <c r="G43" s="333"/>
      <c r="H43" s="336"/>
      <c r="I43" s="318"/>
    </row>
    <row r="44" spans="1:9" ht="27.75" x14ac:dyDescent="0.45">
      <c r="A44" s="106"/>
      <c r="B44" s="319"/>
      <c r="C44" s="334" t="s">
        <v>395</v>
      </c>
      <c r="D44" s="333"/>
      <c r="E44" s="333"/>
      <c r="F44" s="333"/>
      <c r="G44" s="333"/>
      <c r="H44" s="336"/>
      <c r="I44" s="318"/>
    </row>
    <row r="45" spans="1:9" ht="27.75" x14ac:dyDescent="0.45">
      <c r="A45" s="106"/>
      <c r="B45" s="319"/>
      <c r="C45" s="334" t="s">
        <v>290</v>
      </c>
      <c r="D45" s="333"/>
      <c r="E45" s="333"/>
      <c r="F45" s="333"/>
      <c r="G45" s="333"/>
      <c r="H45" s="336"/>
      <c r="I45" s="318"/>
    </row>
    <row r="46" spans="1:9" ht="27.75" x14ac:dyDescent="0.45">
      <c r="A46" s="106"/>
      <c r="B46" s="319"/>
      <c r="C46" s="334"/>
      <c r="D46" s="333"/>
      <c r="E46" s="333"/>
      <c r="F46" s="333"/>
      <c r="G46" s="333"/>
      <c r="H46" s="336"/>
      <c r="I46" s="318"/>
    </row>
    <row r="47" spans="1:9" ht="27.75" x14ac:dyDescent="0.45">
      <c r="A47" s="106"/>
      <c r="B47" s="318"/>
      <c r="C47" s="337" t="s">
        <v>230</v>
      </c>
      <c r="D47" s="338" t="s">
        <v>86</v>
      </c>
      <c r="E47" s="338" t="s">
        <v>100</v>
      </c>
      <c r="F47" s="333"/>
      <c r="G47" s="333"/>
      <c r="H47" s="336"/>
      <c r="I47" s="318"/>
    </row>
    <row r="48" spans="1:9" ht="27.75" x14ac:dyDescent="0.45">
      <c r="A48" s="106"/>
      <c r="B48" s="319"/>
      <c r="C48" s="339" t="s">
        <v>85</v>
      </c>
      <c r="D48" s="340" cm="1">
        <f t="array" aca="1" ref="D48" ca="1">SUM(COUNTIF(INDIRECT({"Eingabe_Meisterei_Intern_Prozess_Inventar[Datenqualität]";"Eingabe_Eigene_Stromerzeugung[Datenqualität]";"Eingabe_Eigene_Waermebereitstellung[Datenqualität]";"Eingabe_Ausbringungen_Fremdsalz[Datenqualität]";"Eingabe_Ausbringungen_FremdSole[Datenqualität]";"Eingabe_Ausbringungen[Datenqualität]";"Eingabe_Antransport[Datenqualität]"}),C48))</f>
        <v>0</v>
      </c>
      <c r="E48" s="341">
        <f ca="1">D48/$D$51</f>
        <v>0</v>
      </c>
      <c r="F48" s="333"/>
      <c r="G48" s="333"/>
      <c r="H48" s="336"/>
      <c r="I48" s="318"/>
    </row>
    <row r="49" spans="1:9" ht="27.75" x14ac:dyDescent="0.45">
      <c r="A49" s="106"/>
      <c r="B49" s="319"/>
      <c r="C49" s="339" t="s">
        <v>98</v>
      </c>
      <c r="D49" s="340" cm="1">
        <f t="array" aca="1" ref="D49" ca="1">SUM(COUNTIF(INDIRECT({"Eingabe_Meisterei_Intern_Prozess_Inventar[Datenqualität]";"Eingabe_Eigene_Stromerzeugung[Datenqualität]";"Eingabe_Eigene_Waermebereitstellung[Datenqualität]";"Eingabe_Ausbringungen_Fremdsalz[Datenqualität]";"Eingabe_Ausbringungen_FremdSole[Datenqualität]";"Eingabe_Ausbringungen[Datenqualität]";"Eingabe_Antransport[Datenqualität]"}),C49))</f>
        <v>1</v>
      </c>
      <c r="E49" s="341">
        <f ca="1">D49/$D$51</f>
        <v>1</v>
      </c>
      <c r="F49" s="333"/>
      <c r="G49" s="333"/>
      <c r="H49" s="336"/>
      <c r="I49" s="318"/>
    </row>
    <row r="50" spans="1:9" ht="27.75" x14ac:dyDescent="0.45">
      <c r="A50" s="106"/>
      <c r="B50" s="319"/>
      <c r="C50" s="339" t="s">
        <v>130</v>
      </c>
      <c r="D50" s="340" cm="1">
        <f t="array" aca="1" ref="D50" ca="1">SUM(COUNTIF(INDIRECT({"Eingabe_Meisterei_Intern_Prozess_Inventar[Datenqualität]";"Eingabe_Eigene_Stromerzeugung[Datenqualität]";"Eingabe_Eigene_Waermebereitstellung[Datenqualität]";"Eingabe_Ausbringungen_Fremdsalz[Datenqualität]";"Eingabe_Ausbringungen_FremdSole[Datenqualität]";"Eingabe_Ausbringungen[Datenqualität]";"Eingabe_Antransport[Datenqualität]"}),C50))</f>
        <v>0</v>
      </c>
      <c r="E50" s="341">
        <f ca="1">D50/$D$51</f>
        <v>0</v>
      </c>
      <c r="F50" s="333"/>
      <c r="G50" s="333"/>
      <c r="H50" s="336"/>
      <c r="I50" s="318"/>
    </row>
    <row r="51" spans="1:9" ht="27.75" x14ac:dyDescent="0.45">
      <c r="A51" s="106"/>
      <c r="B51" s="319"/>
      <c r="C51" s="339" t="s">
        <v>32</v>
      </c>
      <c r="D51" s="340">
        <f ca="1">SUM(D48:D50)</f>
        <v>1</v>
      </c>
      <c r="E51" s="341">
        <f ca="1">D51/$D$51</f>
        <v>1</v>
      </c>
      <c r="F51" s="333"/>
      <c r="G51" s="333"/>
      <c r="H51" s="336"/>
      <c r="I51" s="318"/>
    </row>
    <row r="52" spans="1:9" ht="23.25" x14ac:dyDescent="0.35">
      <c r="A52" s="106"/>
      <c r="B52" s="319"/>
      <c r="C52" s="317"/>
      <c r="D52" s="318"/>
      <c r="E52" s="318"/>
      <c r="F52" s="318"/>
      <c r="G52" s="318"/>
      <c r="H52" s="320"/>
      <c r="I52" s="318"/>
    </row>
    <row r="53" spans="1:9" x14ac:dyDescent="0.35">
      <c r="A53" s="106"/>
      <c r="B53" s="92"/>
      <c r="H53" s="94"/>
    </row>
    <row r="54" spans="1:9" s="105" customFormat="1" x14ac:dyDescent="0.35"/>
    <row r="55" spans="1:9" ht="28.5" x14ac:dyDescent="0.45">
      <c r="A55" s="107"/>
      <c r="B55" s="321" t="s">
        <v>162</v>
      </c>
      <c r="C55" s="108"/>
    </row>
    <row r="56" spans="1:9" ht="28.5" x14ac:dyDescent="0.45">
      <c r="A56" s="107"/>
      <c r="B56" s="322" t="s">
        <v>237</v>
      </c>
      <c r="C56" s="323" t="s">
        <v>88</v>
      </c>
    </row>
    <row r="57" spans="1:9" ht="28.5" x14ac:dyDescent="0.45">
      <c r="A57" s="107"/>
      <c r="B57" s="78"/>
      <c r="C57" s="324" t="s">
        <v>243</v>
      </c>
    </row>
    <row r="58" spans="1:9" ht="27.75" x14ac:dyDescent="0.45">
      <c r="A58" s="107"/>
      <c r="B58" s="78"/>
      <c r="C58" s="345" t="s">
        <v>138</v>
      </c>
      <c r="D58" s="333"/>
      <c r="E58" s="333"/>
      <c r="F58" s="333"/>
      <c r="G58" s="333"/>
      <c r="H58" s="333"/>
    </row>
    <row r="59" spans="1:9" ht="27.75" x14ac:dyDescent="0.45">
      <c r="A59" s="107"/>
      <c r="B59" s="78"/>
      <c r="C59" s="334" t="s">
        <v>293</v>
      </c>
      <c r="D59" s="333"/>
      <c r="E59" s="333"/>
      <c r="F59" s="333"/>
      <c r="G59" s="333"/>
      <c r="H59" s="333"/>
    </row>
    <row r="60" spans="1:9" ht="27.75" x14ac:dyDescent="0.45">
      <c r="A60" s="107"/>
      <c r="B60" s="78"/>
      <c r="C60" s="334"/>
      <c r="D60" s="333"/>
      <c r="E60" s="333"/>
      <c r="F60" s="333"/>
      <c r="G60" s="333"/>
      <c r="H60" s="333"/>
    </row>
    <row r="61" spans="1:9" ht="28.5" x14ac:dyDescent="0.45">
      <c r="A61" s="107"/>
      <c r="B61" s="78"/>
      <c r="C61" s="382"/>
      <c r="D61" s="333"/>
      <c r="E61" s="333"/>
      <c r="F61" s="333"/>
      <c r="G61" s="333"/>
      <c r="H61" s="333"/>
    </row>
    <row r="62" spans="1:9" ht="27.75" x14ac:dyDescent="0.45">
      <c r="A62" s="107"/>
      <c r="B62" s="78"/>
      <c r="C62" s="334"/>
      <c r="D62" s="333"/>
      <c r="E62" s="333"/>
      <c r="F62" s="333"/>
      <c r="G62" s="333"/>
      <c r="H62" s="333"/>
    </row>
    <row r="63" spans="1:9" ht="86.25" x14ac:dyDescent="0.45">
      <c r="A63" s="107"/>
      <c r="C63" s="346" t="s">
        <v>163</v>
      </c>
      <c r="D63" s="337" t="s">
        <v>176</v>
      </c>
      <c r="E63" s="342" t="s">
        <v>389</v>
      </c>
      <c r="F63" s="342" t="s">
        <v>390</v>
      </c>
      <c r="G63" s="342" t="s">
        <v>391</v>
      </c>
      <c r="H63" s="342" t="s">
        <v>392</v>
      </c>
    </row>
    <row r="64" spans="1:9" ht="27.75" hidden="1" x14ac:dyDescent="0.45">
      <c r="A64" s="107"/>
      <c r="C64" s="347" t="s">
        <v>164</v>
      </c>
      <c r="D64" s="348" cm="1">
        <f t="array" ref="D64">Result_KEA_Sole_Herstellung+Result_KEA_Trockensalz_Herstellung</f>
        <v>0</v>
      </c>
      <c r="E64" s="348" cm="1">
        <f t="array" ref="E64">Result_GWP_Sole_Herstellung+Result_GWP_Trockensalz_Herstellung</f>
        <v>0</v>
      </c>
      <c r="F64" s="348" cm="1">
        <f t="array" ref="F64">Result_AP_Sole_Herstellung+Result_AP_Trockensalz_Herstellung</f>
        <v>0</v>
      </c>
      <c r="G64" s="348" cm="1">
        <f t="array" ref="G64">Result_ODP_Sole_Herstellung+Result_ODP_Trockensalz_Herstellung</f>
        <v>0</v>
      </c>
      <c r="H64" s="348" cm="1">
        <f t="array" ref="H64">Result_POCP_Sole_Herstellung+Result_POCP_Trockensalz_Herstellung</f>
        <v>0</v>
      </c>
    </row>
    <row r="65" spans="1:16" ht="27.75" hidden="1" x14ac:dyDescent="0.45">
      <c r="A65" s="107"/>
      <c r="C65" s="347" t="s">
        <v>165</v>
      </c>
      <c r="D65" s="348" cm="1">
        <f t="array" ref="D65">Result_KEA_Antransport</f>
        <v>0</v>
      </c>
      <c r="E65" s="348" cm="1">
        <f t="array" ref="E65">Result_GWP_Antransport</f>
        <v>0</v>
      </c>
      <c r="F65" s="348" cm="1">
        <f t="array" ref="F65">Result_AP_Antransport</f>
        <v>0</v>
      </c>
      <c r="G65" s="348" cm="1">
        <f t="array" ref="G65">Result_ODP_Antransport</f>
        <v>0</v>
      </c>
      <c r="H65" s="348" cm="1">
        <f t="array" ref="H65">Result_POCP_Antransport</f>
        <v>0</v>
      </c>
    </row>
    <row r="66" spans="1:16" ht="55.5" hidden="1" x14ac:dyDescent="0.45">
      <c r="A66" s="107"/>
      <c r="B66" s="109"/>
      <c r="C66" s="347" t="s">
        <v>166</v>
      </c>
      <c r="D66" s="348" cm="1">
        <f t="array" ref="D66">Result_Ausbringung_KEA</f>
        <v>0</v>
      </c>
      <c r="E66" s="348" cm="1">
        <f t="array" ref="E66">Result_Ausbringung_GWP</f>
        <v>0</v>
      </c>
      <c r="F66" s="348" cm="1">
        <f t="array" ref="F66">Result_Ausbringung_AP</f>
        <v>0</v>
      </c>
      <c r="G66" s="348" cm="1">
        <f t="array" ref="G66">Result_Ausbringung_ODP</f>
        <v>0</v>
      </c>
      <c r="H66" s="348" cm="1">
        <f t="array" ref="H66">Result_Ausbringung_POCP</f>
        <v>0</v>
      </c>
    </row>
    <row r="67" spans="1:16" ht="55.5" hidden="1" x14ac:dyDescent="0.45">
      <c r="A67" s="107"/>
      <c r="C67" s="347" t="s">
        <v>167</v>
      </c>
      <c r="D67" s="348">
        <f>Eingabe_Strom_stromnetz*EF_KEA_Strom</f>
        <v>0</v>
      </c>
      <c r="E67" s="348">
        <f>Eingabe_Strom_stromnetz*EF_GWP_Strom</f>
        <v>0</v>
      </c>
      <c r="F67" s="348">
        <f>Eingabe_Strom_stromnetz*EF_AP_Strom</f>
        <v>0</v>
      </c>
      <c r="G67" s="348">
        <f>Eingabe_Strom_stromnetz*EF_ODP_Strom</f>
        <v>0</v>
      </c>
      <c r="H67" s="348">
        <f>Eingabe_Strom_stromnetz*EF_POCP_Strom</f>
        <v>0</v>
      </c>
    </row>
    <row r="68" spans="1:16" ht="55.5" hidden="1" x14ac:dyDescent="0.45">
      <c r="A68" s="107"/>
      <c r="C68" s="347" t="s">
        <v>168</v>
      </c>
      <c r="D68" s="348" cm="1">
        <f t="array" ref="D68">Eingabe_Eigene_Stromerzeugung[Verbrauch]*Emissionsfaktoren!D$84</f>
        <v>0</v>
      </c>
      <c r="E68" s="348" cm="1">
        <f t="array" ref="E68">Eingabe_Eigene_Stromerzeugung[Verbrauch]*Emissionsfaktoren!E$84</f>
        <v>0</v>
      </c>
      <c r="F68" s="348" cm="1">
        <f t="array" ref="F68">Eingabe_Eigene_Stromerzeugung[Verbrauch]*Emissionsfaktoren!F$84</f>
        <v>0</v>
      </c>
      <c r="G68" s="348" cm="1">
        <f t="array" ref="G68">Eingabe_Eigene_Stromerzeugung[Verbrauch]*Emissionsfaktoren!G$84</f>
        <v>0</v>
      </c>
      <c r="H68" s="348" cm="1">
        <f t="array" ref="H68">Eingabe_Eigene_Stromerzeugung[Verbrauch]*Emissionsfaktoren!H$84</f>
        <v>0</v>
      </c>
    </row>
    <row r="69" spans="1:16" ht="55.5" hidden="1" x14ac:dyDescent="0.45">
      <c r="A69" s="107"/>
      <c r="C69" s="347" t="s">
        <v>208</v>
      </c>
      <c r="D69" s="348">
        <f>Eingabe_Waermemix*EF_KEA_Waerme</f>
        <v>0</v>
      </c>
      <c r="E69" s="348">
        <f>Eingabe_Waermemix*EF_GWP_Waerme</f>
        <v>0</v>
      </c>
      <c r="F69" s="348">
        <f>Eingabe_Waermemix*EF_AP_Waerme</f>
        <v>0</v>
      </c>
      <c r="G69" s="348">
        <f>Eingabe_Waermemix*EF_ODP_Waerme</f>
        <v>0</v>
      </c>
      <c r="H69" s="348">
        <f>Eingabe_Waermemix*EF_POCP_Waerme</f>
        <v>0</v>
      </c>
    </row>
    <row r="70" spans="1:16" ht="55.5" hidden="1" x14ac:dyDescent="0.45">
      <c r="A70" s="107"/>
      <c r="C70" s="347" t="s">
        <v>169</v>
      </c>
      <c r="D70" s="348" cm="1">
        <f t="array" ref="D70">Result_KEA_Waerme_EigenE</f>
        <v>0</v>
      </c>
      <c r="E70" s="348" cm="1">
        <f t="array" ref="E70">Result_GWP_Waerme_EigenE</f>
        <v>0</v>
      </c>
      <c r="F70" s="348" cm="1">
        <f t="array" ref="F70">Result_AP_Waerme_EigenE</f>
        <v>0</v>
      </c>
      <c r="G70" s="348" cm="1">
        <f t="array" ref="G70">Result_ODP_Waerme_EigenE</f>
        <v>0</v>
      </c>
      <c r="H70" s="348" cm="1">
        <f t="array" ref="H70">Result_POCP_Waerme_EigenE</f>
        <v>0</v>
      </c>
    </row>
    <row r="71" spans="1:16" s="95" customFormat="1" ht="83.25" hidden="1" x14ac:dyDescent="0.45">
      <c r="A71" s="110"/>
      <c r="C71" s="347" t="s">
        <v>297</v>
      </c>
      <c r="D71" s="349">
        <f>Eingabe_Leitungswasser*EF_KEA_Wasser</f>
        <v>0</v>
      </c>
      <c r="E71" s="349">
        <f>Eingabe_Leitungswasser*EF_GWP_Wasser</f>
        <v>0</v>
      </c>
      <c r="F71" s="350">
        <f>Eingabe_Leitungswasser*EF_AP_Wasser</f>
        <v>0</v>
      </c>
      <c r="G71" s="350">
        <f>Eingabe_Leitungswasser*EF_ODP_Wasser</f>
        <v>0</v>
      </c>
      <c r="H71" s="350">
        <f>Eingabe_Leitungswasser*EF_POCP_Wasser</f>
        <v>0</v>
      </c>
    </row>
    <row r="72" spans="1:16" ht="55.5" hidden="1" x14ac:dyDescent="0.45">
      <c r="A72" s="107"/>
      <c r="C72" s="347" t="s">
        <v>170</v>
      </c>
      <c r="D72" s="350">
        <f>Eingabe_Oel*Emissionsfaktoren!D102+Eingabe_Beladung_Dieselverbrauch*Emissionsfaktoren!D103</f>
        <v>0</v>
      </c>
      <c r="E72" s="350">
        <f>Eingabe_Oel*Emissionsfaktoren!E102+Eingabe_Beladung_Dieselverbrauch*Emissionsfaktoren!E103</f>
        <v>0</v>
      </c>
      <c r="F72" s="348">
        <f>Eingabe_Oel*Emissionsfaktoren!F102+Eingabe_Beladung_Dieselverbrauch*Emissionsfaktoren!F103</f>
        <v>0</v>
      </c>
      <c r="G72" s="348">
        <f>Eingabe_Oel*Emissionsfaktoren!G102+Eingabe_Beladung_Dieselverbrauch*Emissionsfaktoren!G103</f>
        <v>0</v>
      </c>
      <c r="H72" s="348">
        <f>Eingabe_Oel*Emissionsfaktoren!H102+Eingabe_Beladung_Dieselverbrauch*Emissionsfaktoren!H103</f>
        <v>0</v>
      </c>
    </row>
    <row r="73" spans="1:16" ht="27.75" x14ac:dyDescent="0.45">
      <c r="A73" s="107"/>
      <c r="B73" s="111"/>
      <c r="C73" s="351" t="s">
        <v>32</v>
      </c>
      <c r="D73" s="352">
        <f>SUBTOTAL(109,Ergebnis_Absolut[Kumulierter Energie Aufwand
(MJ / funktionelle Einheit)])</f>
        <v>0</v>
      </c>
      <c r="E73" s="352">
        <f>SUBTOTAL(109,Ergebnis_Absolut[Treibhauspotenzial 
(kg CO2-Äq / funktionelle Einheit)])</f>
        <v>0</v>
      </c>
      <c r="F73" s="352">
        <f>SUBTOTAL(109,Ergebnis_Absolut[Versauerungspotenzial
(mol H+-Äq/ funktionelle Einheit)])</f>
        <v>0</v>
      </c>
      <c r="G73" s="352">
        <f>SUBTOTAL(109,Ergebnis_Absolut[Ozonabbaupotenzial
(kg CFC11-Äq / funktionelle Einheit)])</f>
        <v>0</v>
      </c>
      <c r="H73" s="352">
        <f>SUBTOTAL(109,Ergebnis_Absolut[Photooxidantienpotenzial 
(kg NMVOC-Äq / funktionelle Einheit)])</f>
        <v>0</v>
      </c>
    </row>
    <row r="74" spans="1:16" x14ac:dyDescent="0.35">
      <c r="A74" s="107"/>
      <c r="B74" s="111"/>
      <c r="C74" s="112"/>
      <c r="D74" s="112"/>
      <c r="E74" s="112"/>
      <c r="F74" s="112"/>
      <c r="G74" s="112"/>
      <c r="H74" s="112"/>
    </row>
    <row r="75" spans="1:16" ht="28.5" x14ac:dyDescent="0.45">
      <c r="A75" s="107"/>
      <c r="C75" s="324" t="s">
        <v>244</v>
      </c>
      <c r="D75" s="112"/>
      <c r="E75" s="112"/>
      <c r="F75" s="112"/>
      <c r="G75" s="112"/>
      <c r="H75" s="112"/>
    </row>
    <row r="76" spans="1:16" ht="86.25" x14ac:dyDescent="0.45">
      <c r="A76" s="107"/>
      <c r="C76" s="375" t="s">
        <v>163</v>
      </c>
      <c r="D76" s="376" t="s">
        <v>176</v>
      </c>
      <c r="E76" s="377" t="s">
        <v>389</v>
      </c>
      <c r="F76" s="377" t="s">
        <v>390</v>
      </c>
      <c r="G76" s="378" t="s">
        <v>391</v>
      </c>
      <c r="H76" s="377" t="s">
        <v>392</v>
      </c>
    </row>
    <row r="77" spans="1:16" ht="27.75" hidden="1" x14ac:dyDescent="0.45">
      <c r="A77" s="107"/>
      <c r="C77" s="374" t="str">
        <f t="shared" ref="C77:C85" si="0">C64</f>
        <v>Herstellung der Streumittel (trockene Streumittel und Sole)</v>
      </c>
      <c r="D77" s="381" t="e">
        <f>D64/Ergebnis_Absolut[[#Totals],[Kumulierter Energie Aufwand
(MJ / funktionelle Einheit)]]</f>
        <v>#DIV/0!</v>
      </c>
      <c r="E77" s="381" t="e">
        <f>E64/Ergebnis_Absolut[[#Totals],[Treibhauspotenzial 
(kg CO2-Äq / funktionelle Einheit)]]</f>
        <v>#DIV/0!</v>
      </c>
      <c r="F77" s="381" t="e">
        <f>F64/Ergebnis_Absolut[[#Totals],[Versauerungspotenzial
(mol H+-Äq/ funktionelle Einheit)]]</f>
        <v>#DIV/0!</v>
      </c>
      <c r="G77" s="381" t="e">
        <f>G64/Ergebnis_Absolut[[#Totals],[Ozonabbaupotenzial
(kg CFC11-Äq / funktionelle Einheit)]]</f>
        <v>#DIV/0!</v>
      </c>
      <c r="H77" s="381" t="e">
        <f>H64/Ergebnis_Absolut[[#Totals],[Photooxidantienpotenzial 
(kg NMVOC-Äq / funktionelle Einheit)]]</f>
        <v>#DIV/0!</v>
      </c>
    </row>
    <row r="78" spans="1:16" ht="27.75" hidden="1" x14ac:dyDescent="0.45">
      <c r="A78" s="107"/>
      <c r="C78" s="374" t="str">
        <f t="shared" si="0"/>
        <v>Transporte der Streumittel (trockene Streumittel und Sole)</v>
      </c>
      <c r="D78" s="381" t="e">
        <f>D65/Ergebnis_Absolut[[#Totals],[Kumulierter Energie Aufwand
(MJ / funktionelle Einheit)]]</f>
        <v>#DIV/0!</v>
      </c>
      <c r="E78" s="381" t="e">
        <f>E65/Ergebnis_Absolut[[#Totals],[Treibhauspotenzial 
(kg CO2-Äq / funktionelle Einheit)]]</f>
        <v>#DIV/0!</v>
      </c>
      <c r="F78" s="381" t="e">
        <f>F65/Ergebnis_Absolut[[#Totals],[Versauerungspotenzial
(mol H+-Äq/ funktionelle Einheit)]]</f>
        <v>#DIV/0!</v>
      </c>
      <c r="G78" s="381" t="e">
        <f>G65/Ergebnis_Absolut[[#Totals],[Ozonabbaupotenzial
(kg CFC11-Äq / funktionelle Einheit)]]</f>
        <v>#DIV/0!</v>
      </c>
      <c r="H78" s="381" t="e">
        <f>H65/Ergebnis_Absolut[[#Totals],[Photooxidantienpotenzial 
(kg NMVOC-Äq / funktionelle Einheit)]]</f>
        <v>#DIV/0!</v>
      </c>
    </row>
    <row r="79" spans="1:16" ht="55.5" hidden="1" x14ac:dyDescent="0.45">
      <c r="A79" s="107"/>
      <c r="C79" s="374" t="str">
        <f t="shared" si="0"/>
        <v>Ausbringung der Streumittel (direkte Emisssionen bei der Ausbringung und Herstellung Kraftstoffe)</v>
      </c>
      <c r="D79" s="381" t="e">
        <f>D66/Ergebnis_Absolut[[#Totals],[Kumulierter Energie Aufwand
(MJ / funktionelle Einheit)]]</f>
        <v>#DIV/0!</v>
      </c>
      <c r="E79" s="381" t="e">
        <f>E66/Ergebnis_Absolut[[#Totals],[Treibhauspotenzial 
(kg CO2-Äq / funktionelle Einheit)]]</f>
        <v>#DIV/0!</v>
      </c>
      <c r="F79" s="381" t="e">
        <f>F66/Ergebnis_Absolut[[#Totals],[Versauerungspotenzial
(mol H+-Äq/ funktionelle Einheit)]]</f>
        <v>#DIV/0!</v>
      </c>
      <c r="G79" s="381" t="e">
        <f>G66/Ergebnis_Absolut[[#Totals],[Ozonabbaupotenzial
(kg CFC11-Äq / funktionelle Einheit)]]</f>
        <v>#DIV/0!</v>
      </c>
      <c r="H79" s="381" t="e">
        <f>H66/Ergebnis_Absolut[[#Totals],[Photooxidantienpotenzial 
(kg NMVOC-Äq / funktionelle Einheit)]]</f>
        <v>#DIV/0!</v>
      </c>
      <c r="N79" s="372"/>
      <c r="O79" s="372"/>
      <c r="P79" s="372"/>
    </row>
    <row r="80" spans="1:16" ht="55.5" hidden="1" x14ac:dyDescent="0.45">
      <c r="A80" s="107"/>
      <c r="C80" s="374" t="str">
        <f t="shared" si="0"/>
        <v>Stromverbrauch in der Meisterei / im Bauhof (Bereitstellung Strom, Netzbezug)</v>
      </c>
      <c r="D80" s="381" t="e">
        <f>D67/Ergebnis_Absolut[[#Totals],[Kumulierter Energie Aufwand
(MJ / funktionelle Einheit)]]</f>
        <v>#DIV/0!</v>
      </c>
      <c r="E80" s="381" t="e">
        <f>E67/Ergebnis_Absolut[[#Totals],[Treibhauspotenzial 
(kg CO2-Äq / funktionelle Einheit)]]</f>
        <v>#DIV/0!</v>
      </c>
      <c r="F80" s="381" t="e">
        <f>F67/Ergebnis_Absolut[[#Totals],[Versauerungspotenzial
(mol H+-Äq/ funktionelle Einheit)]]</f>
        <v>#DIV/0!</v>
      </c>
      <c r="G80" s="381" t="e">
        <f>G67/Ergebnis_Absolut[[#Totals],[Ozonabbaupotenzial
(kg CFC11-Äq / funktionelle Einheit)]]</f>
        <v>#DIV/0!</v>
      </c>
      <c r="H80" s="381" t="e">
        <f>H67/Ergebnis_Absolut[[#Totals],[Photooxidantienpotenzial 
(kg NMVOC-Äq / funktionelle Einheit)]]</f>
        <v>#DIV/0!</v>
      </c>
      <c r="N80" s="372"/>
      <c r="O80" s="372"/>
      <c r="P80" s="372"/>
    </row>
    <row r="81" spans="1:16" ht="55.5" hidden="1" x14ac:dyDescent="0.45">
      <c r="A81" s="107"/>
      <c r="C81" s="374" t="str">
        <f t="shared" si="0"/>
        <v>Stromverbrauch in der Meisterei / im Bauhof (Bereitstellung Strom, eigene Stromerzeugung)</v>
      </c>
      <c r="D81" s="373" t="e">
        <f>D68/Ergebnis_Absolut[[#Totals],[Kumulierter Energie Aufwand
(MJ / funktionelle Einheit)]]</f>
        <v>#DIV/0!</v>
      </c>
      <c r="E81" s="373" t="e">
        <f>E68/Ergebnis_Absolut[[#Totals],[Treibhauspotenzial 
(kg CO2-Äq / funktionelle Einheit)]]</f>
        <v>#DIV/0!</v>
      </c>
      <c r="F81" s="373" t="e">
        <f>F68/Ergebnis_Absolut[[#Totals],[Versauerungspotenzial
(mol H+-Äq/ funktionelle Einheit)]]</f>
        <v>#DIV/0!</v>
      </c>
      <c r="G81" s="373" t="e">
        <f>G68/Ergebnis_Absolut[[#Totals],[Ozonabbaupotenzial
(kg CFC11-Äq / funktionelle Einheit)]]</f>
        <v>#DIV/0!</v>
      </c>
      <c r="H81" s="373" t="e">
        <f>H68/Ergebnis_Absolut[[#Totals],[Photooxidantienpotenzial 
(kg NMVOC-Äq / funktionelle Einheit)]]</f>
        <v>#DIV/0!</v>
      </c>
      <c r="N81" s="372"/>
      <c r="O81" s="372"/>
      <c r="P81" s="372"/>
    </row>
    <row r="82" spans="1:16" ht="55.5" hidden="1" x14ac:dyDescent="0.45">
      <c r="A82" s="107"/>
      <c r="C82" s="374" t="str">
        <f t="shared" si="0"/>
        <v>Wärmeverbrauch in der Meisterei / im Bauhof (Bereitstellung Wärme, Netzbezug)</v>
      </c>
      <c r="D82" s="373" t="e">
        <f>D69/Ergebnis_Absolut[[#Totals],[Kumulierter Energie Aufwand
(MJ / funktionelle Einheit)]]</f>
        <v>#DIV/0!</v>
      </c>
      <c r="E82" s="373" t="e">
        <f>E69/Ergebnis_Absolut[[#Totals],[Treibhauspotenzial 
(kg CO2-Äq / funktionelle Einheit)]]</f>
        <v>#DIV/0!</v>
      </c>
      <c r="F82" s="373" t="e">
        <f>F69/Ergebnis_Absolut[[#Totals],[Versauerungspotenzial
(mol H+-Äq/ funktionelle Einheit)]]</f>
        <v>#DIV/0!</v>
      </c>
      <c r="G82" s="373" t="e">
        <f>G69/Ergebnis_Absolut[[#Totals],[Ozonabbaupotenzial
(kg CFC11-Äq / funktionelle Einheit)]]</f>
        <v>#DIV/0!</v>
      </c>
      <c r="H82" s="373" t="e">
        <f>H69/Ergebnis_Absolut[[#Totals],[Photooxidantienpotenzial 
(kg NMVOC-Äq / funktionelle Einheit)]]</f>
        <v>#DIV/0!</v>
      </c>
      <c r="N82" s="372"/>
      <c r="O82" s="372"/>
      <c r="P82" s="372"/>
    </row>
    <row r="83" spans="1:16" ht="55.5" hidden="1" x14ac:dyDescent="0.45">
      <c r="A83" s="107"/>
      <c r="C83" s="374" t="str">
        <f>C70</f>
        <v>Wärmeverbrauch in der Meisterei / im Bauhof (Bereitstellung Wärme, eigene Wärmeerzeugung)</v>
      </c>
      <c r="D83" s="373" t="e">
        <f>D70/Ergebnis_Absolut[[#Totals],[Kumulierter Energie Aufwand
(MJ / funktionelle Einheit)]]</f>
        <v>#DIV/0!</v>
      </c>
      <c r="E83" s="373" t="e">
        <f>E70/Ergebnis_Absolut[[#Totals],[Treibhauspotenzial 
(kg CO2-Äq / funktionelle Einheit)]]</f>
        <v>#DIV/0!</v>
      </c>
      <c r="F83" s="373" t="e">
        <f>F70/Ergebnis_Absolut[[#Totals],[Versauerungspotenzial
(mol H+-Äq/ funktionelle Einheit)]]</f>
        <v>#DIV/0!</v>
      </c>
      <c r="G83" s="373" t="e">
        <f>G70/Ergebnis_Absolut[[#Totals],[Ozonabbaupotenzial
(kg CFC11-Äq / funktionelle Einheit)]]</f>
        <v>#DIV/0!</v>
      </c>
      <c r="H83" s="373" t="e">
        <f>H70/Ergebnis_Absolut[[#Totals],[Photooxidantienpotenzial 
(kg NMVOC-Äq / funktionelle Einheit)]]</f>
        <v>#DIV/0!</v>
      </c>
      <c r="N83" s="372"/>
      <c r="O83" s="372"/>
      <c r="P83" s="372"/>
    </row>
    <row r="84" spans="1:16" ht="83.25" hidden="1" x14ac:dyDescent="0.45">
      <c r="A84" s="107"/>
      <c r="C84" s="374" t="str">
        <f>C71</f>
        <v>Wasserverbrauch (Bereitstellung Trinwasser, Bezug Leitungswasser) für Sole-Herstellung sowie die Reinigung von Fahrzeugen und Streumaschinen</v>
      </c>
      <c r="D84" s="381" t="e">
        <f>D71/Ergebnis_Absolut[[#Totals],[Kumulierter Energie Aufwand
(MJ / funktionelle Einheit)]]</f>
        <v>#DIV/0!</v>
      </c>
      <c r="E84" s="381" t="e">
        <f>E71/Ergebnis_Absolut[[#Totals],[Treibhauspotenzial 
(kg CO2-Äq / funktionelle Einheit)]]</f>
        <v>#DIV/0!</v>
      </c>
      <c r="F84" s="381" t="e">
        <f>F71/Ergebnis_Absolut[[#Totals],[Versauerungspotenzial
(mol H+-Äq/ funktionelle Einheit)]]</f>
        <v>#DIV/0!</v>
      </c>
      <c r="G84" s="381" t="e">
        <f>G71/Ergebnis_Absolut[[#Totals],[Ozonabbaupotenzial
(kg CFC11-Äq / funktionelle Einheit)]]</f>
        <v>#DIV/0!</v>
      </c>
      <c r="H84" s="381" t="e">
        <f>H71/Ergebnis_Absolut[[#Totals],[Photooxidantienpotenzial 
(kg NMVOC-Äq / funktionelle Einheit)]]</f>
        <v>#DIV/0!</v>
      </c>
    </row>
    <row r="85" spans="1:16" ht="55.5" hidden="1" x14ac:dyDescent="0.45">
      <c r="A85" s="107"/>
      <c r="C85" s="374" t="str">
        <f t="shared" si="0"/>
        <v>Herstellung von Motor- und Hydrauliköl sowie Diesel für Prozesse in der Meisterei / im Bauhof</v>
      </c>
      <c r="D85" s="373" t="e">
        <f>D72/Ergebnis_Absolut[[#Totals],[Kumulierter Energie Aufwand
(MJ / funktionelle Einheit)]]</f>
        <v>#DIV/0!</v>
      </c>
      <c r="E85" s="373" t="e">
        <f>E72/Ergebnis_Absolut[[#Totals],[Treibhauspotenzial 
(kg CO2-Äq / funktionelle Einheit)]]</f>
        <v>#DIV/0!</v>
      </c>
      <c r="F85" s="373" t="e">
        <f>F72/Ergebnis_Absolut[[#Totals],[Versauerungspotenzial
(mol H+-Äq/ funktionelle Einheit)]]</f>
        <v>#DIV/0!</v>
      </c>
      <c r="G85" s="373" t="e">
        <f>G72/Ergebnis_Absolut[[#Totals],[Ozonabbaupotenzial
(kg CFC11-Äq / funktionelle Einheit)]]</f>
        <v>#DIV/0!</v>
      </c>
      <c r="H85" s="373" t="e">
        <f>H72/Ergebnis_Absolut[[#Totals],[Photooxidantienpotenzial 
(kg NMVOC-Äq / funktionelle Einheit)]]</f>
        <v>#DIV/0!</v>
      </c>
    </row>
    <row r="86" spans="1:16" ht="27.75" hidden="1" x14ac:dyDescent="0.45">
      <c r="A86" s="107"/>
      <c r="C86" s="379" t="s">
        <v>32</v>
      </c>
      <c r="D86" s="380">
        <f>SUBTOTAL(109,Ergebnisse!$D$77:$D$85)</f>
        <v>0</v>
      </c>
      <c r="E86" s="380">
        <f>SUBTOTAL(109,Ergebnisse!$E$77:$E$85)</f>
        <v>0</v>
      </c>
      <c r="F86" s="380">
        <f>SUBTOTAL(109,Ergebnisse!$F$77:$F$85)</f>
        <v>0</v>
      </c>
      <c r="G86" s="380">
        <f>SUBTOTAL(109,Ergebnisse!$G$77:$G$85)</f>
        <v>0</v>
      </c>
      <c r="H86" s="380">
        <f>SUBTOTAL(109,Ergebnisse!$H$77:$H$85)</f>
        <v>0</v>
      </c>
    </row>
    <row r="87" spans="1:16" x14ac:dyDescent="0.35">
      <c r="A87" s="107"/>
      <c r="C87" s="113"/>
      <c r="D87" s="114"/>
      <c r="E87" s="114"/>
      <c r="F87" s="114"/>
      <c r="G87" s="114"/>
      <c r="H87" s="114"/>
    </row>
    <row r="88" spans="1:16" ht="28.5" x14ac:dyDescent="0.45">
      <c r="A88" s="107"/>
      <c r="B88" s="325" t="s">
        <v>238</v>
      </c>
      <c r="C88" s="324" t="str">
        <f>C64</f>
        <v>Herstellung der Streumittel (trockene Streumittel und Sole)</v>
      </c>
      <c r="D88" s="326"/>
      <c r="E88" s="114"/>
      <c r="F88" s="114"/>
      <c r="G88" s="114"/>
      <c r="H88" s="114"/>
    </row>
    <row r="89" spans="1:16" ht="28.5" x14ac:dyDescent="0.45">
      <c r="A89" s="107"/>
      <c r="B89" s="327"/>
      <c r="C89" s="324" t="s">
        <v>171</v>
      </c>
      <c r="D89" s="326"/>
      <c r="E89" s="114"/>
      <c r="F89" s="114"/>
      <c r="G89" s="114"/>
      <c r="H89" s="114"/>
    </row>
    <row r="90" spans="1:16" ht="86.25" x14ac:dyDescent="0.45">
      <c r="A90" s="107"/>
      <c r="C90" s="354" t="s">
        <v>172</v>
      </c>
      <c r="D90" s="337" t="s">
        <v>176</v>
      </c>
      <c r="E90" s="342" t="s">
        <v>389</v>
      </c>
      <c r="F90" s="342" t="s">
        <v>390</v>
      </c>
      <c r="G90" s="342" t="s">
        <v>396</v>
      </c>
      <c r="H90" s="342" t="s">
        <v>392</v>
      </c>
    </row>
    <row r="91" spans="1:16" ht="27.75" x14ac:dyDescent="0.45">
      <c r="A91" s="107"/>
      <c r="B91" s="111"/>
      <c r="C91" s="355" t="s">
        <v>300</v>
      </c>
      <c r="D91"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f>
        <v>0</v>
      </c>
      <c r="E91"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f>
        <v>0</v>
      </c>
      <c r="F91"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f>
        <v>0</v>
      </c>
      <c r="G91"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f>
        <v>0</v>
      </c>
      <c r="H91"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f>
        <v>0</v>
      </c>
    </row>
    <row r="92" spans="1:16" ht="27.75" x14ac:dyDescent="0.45">
      <c r="A92" s="107"/>
      <c r="C92" s="355" t="s">
        <v>195</v>
      </c>
      <c r="D92"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f>
        <v>0</v>
      </c>
      <c r="E92"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f>
        <v>0</v>
      </c>
      <c r="F92"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f>
        <v>0</v>
      </c>
      <c r="G92"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f>
        <v>0</v>
      </c>
      <c r="H92"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f>
        <v>0</v>
      </c>
    </row>
    <row r="93" spans="1:16" ht="27.75" x14ac:dyDescent="0.45">
      <c r="A93" s="107"/>
      <c r="C93" s="355" t="s">
        <v>196</v>
      </c>
      <c r="D93"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f>
        <v>0</v>
      </c>
      <c r="E93"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f>
        <v>0</v>
      </c>
      <c r="F93"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f>
        <v>0</v>
      </c>
      <c r="G93"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f>
        <v>0</v>
      </c>
      <c r="H93"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f>
        <v>0</v>
      </c>
    </row>
    <row r="94" spans="1:16" ht="27.75" x14ac:dyDescent="0.45">
      <c r="A94" s="107"/>
      <c r="C94" s="355" t="s">
        <v>197</v>
      </c>
      <c r="D94"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f>
        <v>0</v>
      </c>
      <c r="E94"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f>
        <v>0</v>
      </c>
      <c r="F94"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f>
        <v>0</v>
      </c>
      <c r="G94"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f>
        <v>0</v>
      </c>
      <c r="H94"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f>
        <v>0</v>
      </c>
    </row>
    <row r="95" spans="1:16" ht="27.75" x14ac:dyDescent="0.45">
      <c r="A95" s="107"/>
      <c r="C95" s="355" t="s">
        <v>198</v>
      </c>
      <c r="D95"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Streumittel]],EF_StreumittelTrocken_Herstellung[Trockensalz],EF_StreumittelTrocken_Herstellung[KEA (MJ  / Tonne)])</f>
        <v>0</v>
      </c>
      <c r="E95"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Streumittel]],EF_StreumittelTrocken_Herstellung[Trockensalz],EF_StreumittelTrocken_Herstellung[GWP (kg CO2Äq.  /  Tonne)])</f>
        <v>0</v>
      </c>
      <c r="F95"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Streumittel]],EF_StreumittelTrocken_Herstellung[Trockensalz],EF_StreumittelTrocken_Herstellung[AP (mol H+ Äq. / Tonne)])</f>
        <v>0</v>
      </c>
      <c r="G95"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Streumittel]],EF_StreumittelTrocken_Herstellung[Trockensalz],EF_StreumittelTrocken_Herstellung[ODP (kg FCKW-11 Äq. / Tonne)])</f>
        <v>0</v>
      </c>
      <c r="H95" s="344">
        <f>SUMIF(Eingabe_Ausbringungen_Fremdsalz[Bezeichnung Streumittel (Trockensalz)],Result_Trockensalz[[#This Row],[Bezeichnung Streumittel]],Eingabe_Ausbringungen_Fremdsalz[Verbrauch '[Tonnen/funktionelle Einheit']])*_xlfn.XLOOKUP(Result_Trockensalz[[#This Row],[Bezeichnung Streumittel]],EF_StreumittelTrocken_Herstellung[Trockensalz],EF_StreumittelTrocken_Herstellung[POCP (kg NMVOC Äq. / Tonne)])</f>
        <v>0</v>
      </c>
    </row>
    <row r="96" spans="1:16" ht="27.75" x14ac:dyDescent="0.45">
      <c r="A96" s="107"/>
      <c r="C96" s="356" t="s">
        <v>32</v>
      </c>
      <c r="D96" s="344">
        <f>SUBTOTAL(109,Result_Trockensalz[Kumulierter Energie Aufwand
(MJ / funktionelle Einheit)])</f>
        <v>0</v>
      </c>
      <c r="E96" s="344">
        <f>SUBTOTAL(109,Result_Trockensalz[Treibhauspotenzial 
(kg CO2-Äq / funktionelle Einheit)])</f>
        <v>0</v>
      </c>
      <c r="F96" s="344">
        <f>SUBTOTAL(109,Result_Trockensalz[Versauerungspotenzial
(mol H+-Äq/ funktionelle Einheit)])</f>
        <v>0</v>
      </c>
      <c r="G96" s="344">
        <f>SUBTOTAL(109,Result_Trockensalz[Ozonabbaupotenzial
(kg CFC11-Äq / funktionelle Einheit])</f>
        <v>0</v>
      </c>
      <c r="H96" s="344">
        <f>SUBTOTAL(109,Result_Trockensalz[Photooxidantienpotenzial 
(kg NMVOC-Äq / funktionelle Einheit)])</f>
        <v>0</v>
      </c>
    </row>
    <row r="97" spans="1:8" x14ac:dyDescent="0.35">
      <c r="A97" s="107"/>
      <c r="H97" s="114"/>
    </row>
    <row r="98" spans="1:8" ht="28.5" x14ac:dyDescent="0.45">
      <c r="A98" s="107"/>
      <c r="C98" s="324" t="s">
        <v>173</v>
      </c>
      <c r="H98" s="114"/>
    </row>
    <row r="99" spans="1:8" ht="86.25" x14ac:dyDescent="0.45">
      <c r="A99" s="107"/>
      <c r="C99" s="354" t="s">
        <v>172</v>
      </c>
      <c r="D99" s="337" t="s">
        <v>176</v>
      </c>
      <c r="E99" s="342" t="s">
        <v>389</v>
      </c>
      <c r="F99" s="342" t="s">
        <v>390</v>
      </c>
      <c r="G99" s="342" t="s">
        <v>391</v>
      </c>
      <c r="H99" s="342" t="s">
        <v>392</v>
      </c>
    </row>
    <row r="100" spans="1:8" ht="27.75" x14ac:dyDescent="0.45">
      <c r="A100" s="107"/>
      <c r="B100" s="111"/>
      <c r="C100" s="339" t="s">
        <v>205</v>
      </c>
      <c r="D100" s="344">
        <f>SUMIFS(Eingabe_Ausbringungen_FremdSole[Menge an eingesetzter Fremdesole],Eingabe_Ausbringungen_FremdSole[Bezeichnung Streumittel (Sole)],"Natriumchlorid-Sole",Eingabe_Ausbringungen_FremdSole[[Bezug von konzentrierter oder anwendungsfertiger Fremdsole ]],"konzentrierte Fremdsole")*EF_KEA_NaCl_Konz_Sole</f>
        <v>0</v>
      </c>
      <c r="E100" s="344">
        <f>SUMIFS(Eingabe_Ausbringungen_FremdSole[Menge an eingesetzter Fremdesole],Eingabe_Ausbringungen_FremdSole[Bezeichnung Streumittel (Sole)],"Natriumchlorid-Sole",Eingabe_Ausbringungen_FremdSole[[Bezug von konzentrierter oder anwendungsfertiger Fremdsole ]],"konzentrierte Fremdsole")*EF_GWP_NaCl_Konz_Sole</f>
        <v>0</v>
      </c>
      <c r="F100" s="344">
        <f>SUMIFS(Eingabe_Ausbringungen_FremdSole[Menge an eingesetzter Fremdesole],Eingabe_Ausbringungen_FremdSole[Bezeichnung Streumittel (Sole)],"Natriumchlorid-Sole",Eingabe_Ausbringungen_FremdSole[[Bezug von konzentrierter oder anwendungsfertiger Fremdsole ]],"konzentrierte Fremdsole")*EF_AP_NaCl_Konz_Sole</f>
        <v>0</v>
      </c>
      <c r="G100" s="344">
        <f>SUMIFS(Eingabe_Ausbringungen_FremdSole[Menge an eingesetzter Fremdesole],Eingabe_Ausbringungen_FremdSole[Bezeichnung Streumittel (Sole)],"Natriumchlorid-Sole",Eingabe_Ausbringungen_FremdSole[[Bezug von konzentrierter oder anwendungsfertiger Fremdsole ]],"konzentrierte Fremdsole")*EF_ODP_NaCl_Konz_Sole</f>
        <v>0</v>
      </c>
      <c r="H100" s="344">
        <f>SUMIFS(Eingabe_Ausbringungen_FremdSole[Menge an eingesetzter Fremdesole],Eingabe_Ausbringungen_FremdSole[Bezeichnung Streumittel (Sole)],"Natriumchlorid-Sole",Eingabe_Ausbringungen_FremdSole[[Bezug von konzentrierter oder anwendungsfertiger Fremdsole ]],"konzentrierte Fremdsole")*EF_POCP_NaCl_Konz_Sole</f>
        <v>0</v>
      </c>
    </row>
    <row r="101" spans="1:8" ht="27.75" x14ac:dyDescent="0.45">
      <c r="A101" s="107"/>
      <c r="C101" s="339" t="s">
        <v>206</v>
      </c>
      <c r="D101" s="344">
        <f>SUMIFS(Eingabe_Ausbringungen_FremdSole[Menge an eingesetzter Fremdesole],Eingabe_Ausbringungen_FremdSole[Bezeichnung Streumittel (Sole)],"Natriumchlorid-Sole",Eingabe_Ausbringungen_FremdSole[[Bezug von konzentrierter oder anwendungsfertiger Fremdsole ]],"anwendungsfertige Fremdsole")*(EF_KEA_NaCl_Konz_Sole+1.5*EF_KEA_Strom)+SUMIFS(Eingabe_Ausbringungen_FremdSole[Wasserverbrauch für die Verdünnung bei Herstellern (Tonne/FU), nur relevant für anwendigungsfertige Fremdsole],Eingabe_Ausbringungen_FremdSole[Bezeichnung Streumittel (Sole)],"Natriumchlorid-Sole",Eingabe_Ausbringungen_FremdSole[[Bezug von konzentrierter oder anwendungsfertiger Fremdsole ]],"anwendungsfertige Fremdsole")*EF_KEA_Wasser*1000</f>
        <v>0</v>
      </c>
      <c r="E101" s="344">
        <f>SUMIFS(Eingabe_Ausbringungen_FremdSole[Menge an eingesetzter Fremdesole],Eingabe_Ausbringungen_FremdSole[Bezeichnung Streumittel (Sole)],"Natriumchlorid-Sole",Eingabe_Ausbringungen_FremdSole[[Bezug von konzentrierter oder anwendungsfertiger Fremdsole ]],"anwendungsfertige Fremdsole")*(EF_GWP_NaCl_Konz_Sole+1.5*EF_GWP_Strom)+SUMIFS(Eingabe_Ausbringungen_FremdSole[Wasserverbrauch für die Verdünnung bei Herstellern (Tonne/FU), nur relevant für anwendigungsfertige Fremdsole],Eingabe_Ausbringungen_FremdSole[Bezeichnung Streumittel (Sole)],"Natriumchlorid-Sole",Eingabe_Ausbringungen_FremdSole[[Bezug von konzentrierter oder anwendungsfertiger Fremdsole ]],"anwendungsfertige Fremdsole")*EF_GWP_Wasser*1000</f>
        <v>0</v>
      </c>
      <c r="F101" s="344">
        <f>SUMIFS(Eingabe_Ausbringungen_FremdSole[Menge an eingesetzter Fremdesole],Eingabe_Ausbringungen_FremdSole[Bezeichnung Streumittel (Sole)],"Natriumchlorid-Sole",Eingabe_Ausbringungen_FremdSole[[Bezug von konzentrierter oder anwendungsfertiger Fremdsole ]],"anwendungsfertige Fremdsole")*(EF_AP_NaCl_Konz_Sole+1.5*EF_AP_Strom)+SUMIFS(Eingabe_Ausbringungen_FremdSole[Wasserverbrauch für die Verdünnung bei Herstellern (Tonne/FU), nur relevant für anwendigungsfertige Fremdsole],Eingabe_Ausbringungen_FremdSole[Bezeichnung Streumittel (Sole)],"Natriumchlorid-Sole",Eingabe_Ausbringungen_FremdSole[[Bezug von konzentrierter oder anwendungsfertiger Fremdsole ]],"anwendungsfertige Fremdsole")*EF_AP_Wasser*1000</f>
        <v>0</v>
      </c>
      <c r="G101" s="344">
        <f>SUMIFS(Eingabe_Ausbringungen_FremdSole[Menge an eingesetzter Fremdesole],Eingabe_Ausbringungen_FremdSole[Bezeichnung Streumittel (Sole)],"Natriumchlorid-Sole",Eingabe_Ausbringungen_FremdSole[[Bezug von konzentrierter oder anwendungsfertiger Fremdsole ]],"anwendungsfertige Fremdsole")*(EF_ODP_NaCl_Konz_Sole+1.5*EF_ODP_Strom)+SUMIFS(Eingabe_Ausbringungen_FremdSole[Wasserverbrauch für die Verdünnung bei Herstellern (Tonne/FU), nur relevant für anwendigungsfertige Fremdsole],Eingabe_Ausbringungen_FremdSole[Bezeichnung Streumittel (Sole)],"Natriumchlorid-Sole",Eingabe_Ausbringungen_FremdSole[[Bezug von konzentrierter oder anwendungsfertiger Fremdsole ]],"anwendungsfertige Fremdsole")*EF_ODP_Wasser*1000</f>
        <v>0</v>
      </c>
      <c r="H101" s="344">
        <f>SUMIFS(Eingabe_Ausbringungen_FremdSole[Menge an eingesetzter Fremdesole],Eingabe_Ausbringungen_FremdSole[Bezeichnung Streumittel (Sole)],"Natriumchlorid-Sole",Eingabe_Ausbringungen_FremdSole[[Bezug von konzentrierter oder anwendungsfertiger Fremdsole ]],"anwendungsfertige Fremdsole")*(EF_POCP_NaCl_Konz_Sole+1.5*EF_POCP_Strom)+SUMIFS(Eingabe_Ausbringungen_FremdSole[Wasserverbrauch für die Verdünnung bei Herstellern (Tonne/FU), nur relevant für anwendigungsfertige Fremdsole],Eingabe_Ausbringungen_FremdSole[Bezeichnung Streumittel (Sole)],"Natriumchlorid-Sole",Eingabe_Ausbringungen_FremdSole[[Bezug von konzentrierter oder anwendungsfertiger Fremdsole ]],"anwendungsfertige Fremdsole")*EF_POCP_Wasser*1000</f>
        <v>0</v>
      </c>
    </row>
    <row r="102" spans="1:8" ht="27.75" x14ac:dyDescent="0.45">
      <c r="A102" s="107"/>
      <c r="C102" s="339" t="s">
        <v>204</v>
      </c>
      <c r="D102" s="344">
        <f>SUMIFS(Eingabe_Ausbringungen_FremdSole[Menge an eingesetzter Fremdesole],Eingabe_Ausbringungen_FremdSole[Bezeichnung Streumittel (Sole)],"Magnesiumchlorid-Sole",Eingabe_Ausbringungen_FremdSole[[Bezug von konzentrierter oder anwendungsfertiger Fremdsole ]],"konzentrierte Fremdsole")*EF_KEA_MgCl2_Konz_Sole</f>
        <v>0</v>
      </c>
      <c r="E102" s="344">
        <f>SUMIFS(Eingabe_Ausbringungen_FremdSole[Menge an eingesetzter Fremdesole],Eingabe_Ausbringungen_FremdSole[Bezeichnung Streumittel (Sole)],"Magnesiumchlorid-Sole",Eingabe_Ausbringungen_FremdSole[[Bezug von konzentrierter oder anwendungsfertiger Fremdsole ]],"konzentrierte Fremdsole")*EF_GWP_MgCl2_Konz_Sole</f>
        <v>0</v>
      </c>
      <c r="F102" s="344">
        <f>SUMIFS(Eingabe_Ausbringungen_FremdSole[Menge an eingesetzter Fremdesole],Eingabe_Ausbringungen_FremdSole[Bezeichnung Streumittel (Sole)],"Magnesiumchlorid-Sole",Eingabe_Ausbringungen_FremdSole[[Bezug von konzentrierter oder anwendungsfertiger Fremdsole ]],"konzentrierte Fremdsole")*EF_AP_MgCl2_Konz_Sole</f>
        <v>0</v>
      </c>
      <c r="G102" s="344">
        <f>SUMIFS(Eingabe_Ausbringungen_FremdSole[Menge an eingesetzter Fremdesole],Eingabe_Ausbringungen_FremdSole[Bezeichnung Streumittel (Sole)],"Magnesiumchlorid-Sole",Eingabe_Ausbringungen_FremdSole[[Bezug von konzentrierter oder anwendungsfertiger Fremdsole ]],"konzentrierte Fremdsole")*EF_ODP_MgCl2_Konz_Sole</f>
        <v>0</v>
      </c>
      <c r="H102" s="344">
        <f>SUMIFS(Eingabe_Ausbringungen_FremdSole[Menge an eingesetzter Fremdesole],Eingabe_Ausbringungen_FremdSole[Bezeichnung Streumittel (Sole)],"Magnesiumchlorid-Sole",Eingabe_Ausbringungen_FremdSole[[Bezug von konzentrierter oder anwendungsfertiger Fremdsole ]],"konzentrierte Fremdsole")*EF_POCP_MgCl2_Konz_Sole</f>
        <v>0</v>
      </c>
    </row>
    <row r="103" spans="1:8" ht="27.75" x14ac:dyDescent="0.45">
      <c r="A103" s="107"/>
      <c r="C103" s="339" t="s">
        <v>207</v>
      </c>
      <c r="D103" s="344">
        <f>SUMIFS(Eingabe_Ausbringungen_FremdSole[Menge an eingesetzter Fremdesole],Eingabe_Ausbringungen_FremdSole[Bezeichnung Streumittel (Sole)],"Magnesiumchlorid-Sole",Eingabe_Ausbringungen_FremdSole[[Bezug von konzentrierter oder anwendungsfertiger Fremdsole ]],"anwendungsfertige Fremdsole")*(EF_KEA_MgCl2_Konz_Sole+1.5*EF_KEA_Strom)+SUMIFS(Eingabe_Ausbringungen_FremdSole[Wasserverbrauch für die Verdünnung bei Herstellern (Tonne/FU), nur relevant für anwendigungsfertige Fremdsole],Eingabe_Ausbringungen_FremdSole[Bezeichnung Streumittel (Sole)],"Magnesiumchlorid-Sole",Eingabe_Ausbringungen_FremdSole[[Bezug von konzentrierter oder anwendungsfertiger Fremdsole ]],"anwendungsfertige Fremdsole")*EF_KEA_Wasser*1000</f>
        <v>0</v>
      </c>
      <c r="E103" s="344">
        <f>SUMIFS(Eingabe_Ausbringungen_FremdSole[Menge an eingesetzter Fremdesole],Eingabe_Ausbringungen_FremdSole[Bezeichnung Streumittel (Sole)],"Magnesiumchlorid-Sole",Eingabe_Ausbringungen_FremdSole[[Bezug von konzentrierter oder anwendungsfertiger Fremdsole ]],"anwendungsfertige Fremdsole")*(EF_GWP_MgCl2_Konz_Sole+1.5*EF_GWP_Strom)+SUMIFS(Eingabe_Ausbringungen_FremdSole[Wasserverbrauch für die Verdünnung bei Herstellern (Tonne/FU), nur relevant für anwendigungsfertige Fremdsole],Eingabe_Ausbringungen_FremdSole[Bezeichnung Streumittel (Sole)],"Magnesiumchlorid-Sole",Eingabe_Ausbringungen_FremdSole[[Bezug von konzentrierter oder anwendungsfertiger Fremdsole ]],"anwendungsfertige Fremdsole")*EF_GWP_Wasser*1000</f>
        <v>0</v>
      </c>
      <c r="F103" s="344">
        <f>SUMIFS(Eingabe_Ausbringungen_FremdSole[Menge an eingesetzter Fremdesole],Eingabe_Ausbringungen_FremdSole[Bezeichnung Streumittel (Sole)],"Magnesiumchlorid-Sole",Eingabe_Ausbringungen_FremdSole[[Bezug von konzentrierter oder anwendungsfertiger Fremdsole ]],"anwendungsfertige Fremdsole")*(EF_AP_MgCl2_Konz_Sole+1.5*EF_AP_Strom)+SUMIFS(Eingabe_Ausbringungen_FremdSole[Wasserverbrauch für die Verdünnung bei Herstellern (Tonne/FU), nur relevant für anwendigungsfertige Fremdsole],Eingabe_Ausbringungen_FremdSole[Bezeichnung Streumittel (Sole)],"Magnesiumchlorid-Sole",Eingabe_Ausbringungen_FremdSole[[Bezug von konzentrierter oder anwendungsfertiger Fremdsole ]],"anwendungsfertige Fremdsole")*EF_AP_Wasser*1000</f>
        <v>0</v>
      </c>
      <c r="G103" s="344">
        <f>SUMIFS(Eingabe_Ausbringungen_FremdSole[Menge an eingesetzter Fremdesole],Eingabe_Ausbringungen_FremdSole[Bezeichnung Streumittel (Sole)],"Magnesiumchlorid-Sole",Eingabe_Ausbringungen_FremdSole[[Bezug von konzentrierter oder anwendungsfertiger Fremdsole ]],"anwendungsfertige Fremdsole")*(EF_ODP_MgCl2_Konz_Sole+1.5*EF_ODP_Strom)+SUMIFS(Eingabe_Ausbringungen_FremdSole[Wasserverbrauch für die Verdünnung bei Herstellern (Tonne/FU), nur relevant für anwendigungsfertige Fremdsole],Eingabe_Ausbringungen_FremdSole[Bezeichnung Streumittel (Sole)],"Magnesiumchlorid-Sole",Eingabe_Ausbringungen_FremdSole[[Bezug von konzentrierter oder anwendungsfertiger Fremdsole ]],"anwendungsfertige Fremdsole")*EF_ODP_Wasser*1000</f>
        <v>0</v>
      </c>
      <c r="H103" s="344">
        <f>SUMIFS(Eingabe_Ausbringungen_FremdSole[Menge an eingesetzter Fremdesole],Eingabe_Ausbringungen_FremdSole[Bezeichnung Streumittel (Sole)],"Magnesiumchlorid-Sole",Eingabe_Ausbringungen_FremdSole[[Bezug von konzentrierter oder anwendungsfertiger Fremdsole ]],"anwendungsfertige Fremdsole")*(EF_POCP_MgCl2_Konz_Sole+1.5*EF_POCP_Strom)+SUMIFS(Eingabe_Ausbringungen_FremdSole[Wasserverbrauch für die Verdünnung bei Herstellern (Tonne/FU), nur relevant für anwendigungsfertige Fremdsole],Eingabe_Ausbringungen_FremdSole[Bezeichnung Streumittel (Sole)],"Magnesiumchlorid-Sole",Eingabe_Ausbringungen_FremdSole[[Bezug von konzentrierter oder anwendungsfertiger Fremdsole ]],"anwendungsfertige Fremdsole")*EF_POCP_Wasser*1000</f>
        <v>0</v>
      </c>
    </row>
    <row r="104" spans="1:8" ht="27.75" x14ac:dyDescent="0.45">
      <c r="A104" s="107"/>
      <c r="C104" s="357" t="s">
        <v>199</v>
      </c>
      <c r="D104" s="344">
        <f>SUMIFS(Eingabe_Ausbringungen_FremdSole[Menge an eingesetzter Fremdesole],Eingabe_Ausbringungen_FremdSole[Bezeichnung Streumittel (Sole)],"Calciumchlorid-Sole",Eingabe_Ausbringungen_FremdSole[[Bezug von konzentrierter oder anwendungsfertiger Fremdsole ]],"konzentrierte Fremdsole")*EF_KEA_CaCl2_Konz_Sole</f>
        <v>0</v>
      </c>
      <c r="E104" s="344">
        <f>SUMIFS(Eingabe_Ausbringungen_FremdSole[Menge an eingesetzter Fremdesole],Eingabe_Ausbringungen_FremdSole[Bezeichnung Streumittel (Sole)],"Calciumchlorid-Sole",Eingabe_Ausbringungen_FremdSole[[Bezug von konzentrierter oder anwendungsfertiger Fremdsole ]],"konzentrierte Fremdsole")*EF_GWP_CaCl2_Konz_Sole</f>
        <v>0</v>
      </c>
      <c r="F104" s="344">
        <f>SUMIFS(Eingabe_Ausbringungen_FremdSole[Menge an eingesetzter Fremdesole],Eingabe_Ausbringungen_FremdSole[Bezeichnung Streumittel (Sole)],"Calciumchlorid-Sole",Eingabe_Ausbringungen_FremdSole[[Bezug von konzentrierter oder anwendungsfertiger Fremdsole ]],"konzentrierte Fremdsole")*EF_AP_CaCl2_Konz_Sole</f>
        <v>0</v>
      </c>
      <c r="G104" s="344">
        <f>SUMIFS(Eingabe_Ausbringungen_FremdSole[Menge an eingesetzter Fremdesole],Eingabe_Ausbringungen_FremdSole[Bezeichnung Streumittel (Sole)],"Calciumchlorid-Sole",Eingabe_Ausbringungen_FremdSole[[Bezug von konzentrierter oder anwendungsfertiger Fremdsole ]],"konzentrierte Fremdsole")*EF_ODP_CaCl2_Konz_Sole</f>
        <v>0</v>
      </c>
      <c r="H104" s="344">
        <f>SUMIFS(Eingabe_Ausbringungen_FremdSole[Menge an eingesetzter Fremdesole],Eingabe_Ausbringungen_FremdSole[Bezeichnung Streumittel (Sole)],"Calciumchlorid-Sole",Eingabe_Ausbringungen_FremdSole[[Bezug von konzentrierter oder anwendungsfertiger Fremdsole ]],"konzentrierte Fremdsole")*EF_POCP_CaCl2_Konz_Sole</f>
        <v>0</v>
      </c>
    </row>
    <row r="105" spans="1:8" ht="27.75" x14ac:dyDescent="0.45">
      <c r="A105" s="107"/>
      <c r="C105" s="339" t="s">
        <v>200</v>
      </c>
      <c r="D105" s="344">
        <f>SUMIFS(Eingabe_Ausbringungen_FremdSole[Menge an eingesetzter Fremdesole],Eingabe_Ausbringungen_FremdSole[Bezeichnung Streumittel (Sole)],"Calciumchlorid-Sole",Eingabe_Ausbringungen_FremdSole[[Bezug von konzentrierter oder anwendungsfertiger Fremdsole ]],"anwendungsfertige Fremdsole")*(EF_KEA_CaCl2_Konz_Sole+1.5*EF_KEA_Strom)+SUMIFS(Eingabe_Ausbringungen_FremdSole[Wasserverbrauch für die Verdünnung bei Herstellern (Tonne/FU), nur relevant für anwendigungsfertige Fremdsole],Eingabe_Ausbringungen_FremdSole[Bezeichnung Streumittel (Sole)],"Calciumchlorid-Sole",Eingabe_Ausbringungen_FremdSole[[Bezug von konzentrierter oder anwendungsfertiger Fremdsole ]],"anwendungsfertige Fremdsole")*EF_KEA_Wasser*1000</f>
        <v>0</v>
      </c>
      <c r="E105" s="344">
        <f>SUMIFS(Eingabe_Ausbringungen_FremdSole[Menge an eingesetzter Fremdesole],Eingabe_Ausbringungen_FremdSole[Bezeichnung Streumittel (Sole)],"Calciumchlorid-Sole",Eingabe_Ausbringungen_FremdSole[[Bezug von konzentrierter oder anwendungsfertiger Fremdsole ]],"anwendungsfertige Fremdsole")*(EF_GWP_CaCl2_Konz_Sole+1.5*EF_GWP_Strom)+SUMIFS(Eingabe_Ausbringungen_FremdSole[Wasserverbrauch für die Verdünnung bei Herstellern (Tonne/FU), nur relevant für anwendigungsfertige Fremdsole],Eingabe_Ausbringungen_FremdSole[Bezeichnung Streumittel (Sole)],"Calciumchlorid-Sole",Eingabe_Ausbringungen_FremdSole[[Bezug von konzentrierter oder anwendungsfertiger Fremdsole ]],"anwendungsfertige Fremdsole")*EF_GWP_Wasser*1000</f>
        <v>0</v>
      </c>
      <c r="F105" s="344">
        <f>SUMIFS(Eingabe_Ausbringungen_FremdSole[Menge an eingesetzter Fremdesole],Eingabe_Ausbringungen_FremdSole[Bezeichnung Streumittel (Sole)],"Calciumchlorid-Sole",Eingabe_Ausbringungen_FremdSole[[Bezug von konzentrierter oder anwendungsfertiger Fremdsole ]],"anwendungsfertige Fremdsole")*(EF_AP_CaCl2_Konz_Sole+1.5*EF_AP_Strom)+SUMIFS(Eingabe_Ausbringungen_FremdSole[Wasserverbrauch für die Verdünnung bei Herstellern (Tonne/FU), nur relevant für anwendigungsfertige Fremdsole],Eingabe_Ausbringungen_FremdSole[Bezeichnung Streumittel (Sole)],"Calciumchlorid-Sole",Eingabe_Ausbringungen_FremdSole[[Bezug von konzentrierter oder anwendungsfertiger Fremdsole ]],"anwendungsfertige Fremdsole")*EF_AP_Wasser*1000</f>
        <v>0</v>
      </c>
      <c r="G105" s="344">
        <f>SUMIFS(Eingabe_Ausbringungen_FremdSole[Menge an eingesetzter Fremdesole],Eingabe_Ausbringungen_FremdSole[Bezeichnung Streumittel (Sole)],"Calciumchlorid-Sole",Eingabe_Ausbringungen_FremdSole[[Bezug von konzentrierter oder anwendungsfertiger Fremdsole ]],"anwendungsfertige Fremdsole")*(EF_ODP_CaCl2_Konz_Sole+1.5*EF_ODP_Strom)+SUMIFS(Eingabe_Ausbringungen_FremdSole[Wasserverbrauch für die Verdünnung bei Herstellern (Tonne/FU), nur relevant für anwendigungsfertige Fremdsole],Eingabe_Ausbringungen_FremdSole[Bezeichnung Streumittel (Sole)],"Calciumchlorid-Sole",Eingabe_Ausbringungen_FremdSole[[Bezug von konzentrierter oder anwendungsfertiger Fremdsole ]],"anwendungsfertige Fremdsole")*EF_ODP_Wasser*1000</f>
        <v>0</v>
      </c>
      <c r="H105" s="344">
        <f>SUMIFS(Eingabe_Ausbringungen_FremdSole[Menge an eingesetzter Fremdesole],Eingabe_Ausbringungen_FremdSole[Bezeichnung Streumittel (Sole)],"Calciumchlorid-Sole",Eingabe_Ausbringungen_FremdSole[[Bezug von konzentrierter oder anwendungsfertiger Fremdsole ]],"anwendungsfertige Fremdsole")*(EF_POCP_CaCl2_Konz_Sole+1.5*EF_POCP_Strom)+SUMIFS(Eingabe_Ausbringungen_FremdSole[Wasserverbrauch für die Verdünnung bei Herstellern (Tonne/FU), nur relevant für anwendigungsfertige Fremdsole],Eingabe_Ausbringungen_FremdSole[Bezeichnung Streumittel (Sole)],"Calciumchlorid-Sole",Eingabe_Ausbringungen_FremdSole[[Bezug von konzentrierter oder anwendungsfertiger Fremdsole ]],"anwendungsfertige Fremdsole")*EF_POCP_Wasser*1000</f>
        <v>0</v>
      </c>
    </row>
    <row r="106" spans="1:8" ht="27.75" x14ac:dyDescent="0.45">
      <c r="A106" s="107"/>
      <c r="C106" s="358" t="s">
        <v>32</v>
      </c>
      <c r="D106" s="344">
        <f>SUBTOTAL(109,Result_Sole[Kumulierter Energie Aufwand
(MJ / funktionelle Einheit)])</f>
        <v>0</v>
      </c>
      <c r="E106" s="344">
        <f>SUBTOTAL(109,Result_Sole[Treibhauspotenzial 
(kg CO2-Äq / funktionelle Einheit)])</f>
        <v>0</v>
      </c>
      <c r="F106" s="344">
        <f>SUBTOTAL(109,Result_Sole[Versauerungspotenzial
(mol H+-Äq/ funktionelle Einheit)])</f>
        <v>0</v>
      </c>
      <c r="G106" s="344">
        <f>SUBTOTAL(109,Result_Sole[Ozonabbaupotenzial
(kg CFC11-Äq / funktionelle Einheit)])</f>
        <v>0</v>
      </c>
      <c r="H106" s="344">
        <f>SUBTOTAL(109,Result_Sole[Photooxidantienpotenzial 
(kg NMVOC-Äq / funktionelle Einheit)])</f>
        <v>0</v>
      </c>
    </row>
    <row r="107" spans="1:8" x14ac:dyDescent="0.35">
      <c r="A107" s="107"/>
      <c r="C107" s="116"/>
      <c r="D107" s="117"/>
      <c r="E107" s="114"/>
      <c r="F107" s="118"/>
      <c r="G107" s="114"/>
      <c r="H107" s="114"/>
    </row>
    <row r="108" spans="1:8" ht="28.5" x14ac:dyDescent="0.45">
      <c r="A108" s="107"/>
      <c r="B108" s="325" t="s">
        <v>239</v>
      </c>
      <c r="C108" s="328" t="str">
        <f>C65</f>
        <v>Transporte der Streumittel (trockene Streumittel und Sole)</v>
      </c>
      <c r="D108" s="114"/>
      <c r="E108" s="114"/>
      <c r="F108" s="114"/>
      <c r="G108" s="114"/>
      <c r="H108" s="114"/>
    </row>
    <row r="109" spans="1:8" ht="86.25" x14ac:dyDescent="0.45">
      <c r="A109" s="107"/>
      <c r="C109" s="359" t="s">
        <v>57</v>
      </c>
      <c r="D109" s="337" t="s">
        <v>176</v>
      </c>
      <c r="E109" s="342" t="s">
        <v>389</v>
      </c>
      <c r="F109" s="342" t="s">
        <v>390</v>
      </c>
      <c r="G109" s="342" t="s">
        <v>391</v>
      </c>
      <c r="H109" s="342" t="s">
        <v>392</v>
      </c>
    </row>
    <row r="110" spans="1:8" ht="27.75" x14ac:dyDescent="0.45">
      <c r="A110" s="107"/>
      <c r="B110" s="111"/>
      <c r="C110" s="360" t="s">
        <v>177</v>
      </c>
      <c r="D110"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Row],[Transportmittel]],Transportmittel_AntransportStreumittel,Emissionsfaktoren!D$35:D$46)</f>
        <v>0</v>
      </c>
      <c r="E110"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Row],[Transportmittel]],Transportmittel_AntransportStreumittel,Emissionsfaktoren!E$35:E$46)</f>
        <v>0</v>
      </c>
      <c r="F110"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Row],[Transportmittel]],Transportmittel_AntransportStreumittel,Emissionsfaktoren!F$35:F$46)</f>
        <v>0</v>
      </c>
      <c r="G110"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Row],[Transportmittel]],Transportmittel_AntransportStreumittel,Emissionsfaktoren!G$35:G$46)</f>
        <v>0</v>
      </c>
      <c r="H110"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Row],[Transportmittel]],Transportmittel_AntransportStreumittel,Emissionsfaktoren!H$35:H$46)</f>
        <v>0</v>
      </c>
    </row>
    <row r="111" spans="1:8" ht="27.75" x14ac:dyDescent="0.45">
      <c r="A111" s="107"/>
      <c r="B111" s="111"/>
      <c r="C111" s="361" t="s">
        <v>318</v>
      </c>
      <c r="D111"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Row],[Transportmittel]],Transportmittel_AntransportStreumittel,Emissionsfaktoren!D$35:D$46)</f>
        <v>0</v>
      </c>
      <c r="E111"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Row],[Transportmittel]],Transportmittel_AntransportStreumittel,Emissionsfaktoren!E$35:E$46)</f>
        <v>0</v>
      </c>
      <c r="F111"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Row],[Transportmittel]],Transportmittel_AntransportStreumittel,Emissionsfaktoren!F$35:F$46)</f>
        <v>0</v>
      </c>
      <c r="G111"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Row],[Transportmittel]],Transportmittel_AntransportStreumittel,Emissionsfaktoren!G$35:G$46)</f>
        <v>0</v>
      </c>
      <c r="H111"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Row],[Transportmittel]],Transportmittel_AntransportStreumittel,Emissionsfaktoren!H$35:H$46)</f>
        <v>0</v>
      </c>
    </row>
    <row r="112" spans="1:8" ht="27.75" x14ac:dyDescent="0.45">
      <c r="A112" s="107"/>
      <c r="C112" s="361" t="s">
        <v>319</v>
      </c>
      <c r="D112"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Row],[Transportmittel]],Transportmittel_AntransportStreumittel,Emissionsfaktoren!D$35:D$46)</f>
        <v>0</v>
      </c>
      <c r="E112"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Row],[Transportmittel]],Transportmittel_AntransportStreumittel,Emissionsfaktoren!E$35:E$46)</f>
        <v>0</v>
      </c>
      <c r="F112"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Row],[Transportmittel]],Transportmittel_AntransportStreumittel,Emissionsfaktoren!F$35:F$46)</f>
        <v>0</v>
      </c>
      <c r="G112"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Row],[Transportmittel]],Transportmittel_AntransportStreumittel,Emissionsfaktoren!G$35:G$46)</f>
        <v>0</v>
      </c>
      <c r="H112"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Row],[Transportmittel]],Transportmittel_AntransportStreumittel,Emissionsfaktoren!H$35:H$46)</f>
        <v>0</v>
      </c>
    </row>
    <row r="113" spans="1:8" ht="27.75" x14ac:dyDescent="0.45">
      <c r="A113" s="107"/>
      <c r="C113" s="360" t="s">
        <v>320</v>
      </c>
      <c r="D113"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Row],[Transportmittel]],Transportmittel_AntransportStreumittel,Emissionsfaktoren!D$35:D$46)</f>
        <v>0</v>
      </c>
      <c r="E113"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Row],[Transportmittel]],Transportmittel_AntransportStreumittel,Emissionsfaktoren!E$35:E$46)</f>
        <v>0</v>
      </c>
      <c r="F113"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Row],[Transportmittel]],Transportmittel_AntransportStreumittel,Emissionsfaktoren!F$35:F$46)</f>
        <v>0</v>
      </c>
      <c r="G113"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Row],[Transportmittel]],Transportmittel_AntransportStreumittel,Emissionsfaktoren!G$35:G$46)</f>
        <v>0</v>
      </c>
      <c r="H113" s="344">
        <f>SUMIF(Eingabe_Antransport[Transportmittel],Result_Antransport[[#This Row],[Transportmittel]],Eingabe_Antransport[Tonnenkilometer (automatisch berechneter Wert) (tkm/funktionelle Einheit)])*_xlfn.XLOOKUP(Result_Antransport[[#This Row],[Transportmittel]],Transportmittel_AntransportStreumittel,Emissionsfaktoren!H$35:H$46)</f>
        <v>0</v>
      </c>
    </row>
    <row r="114" spans="1:8" ht="27.75" x14ac:dyDescent="0.45">
      <c r="A114" s="107"/>
      <c r="C114" s="360" t="s">
        <v>356</v>
      </c>
      <c r="D114"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4"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4"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4"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4"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15" spans="1:8" ht="27.75" x14ac:dyDescent="0.45">
      <c r="A115" s="107"/>
      <c r="C115" s="360" t="s">
        <v>357</v>
      </c>
      <c r="D115"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5"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5"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5"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5"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16" spans="1:8" ht="27.75" x14ac:dyDescent="0.45">
      <c r="A116" s="107"/>
      <c r="C116" s="360" t="s">
        <v>358</v>
      </c>
      <c r="D116"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6"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6"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6"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6"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17" spans="1:8" ht="27.75" x14ac:dyDescent="0.45">
      <c r="A117" s="107"/>
      <c r="C117" s="360" t="s">
        <v>359</v>
      </c>
      <c r="D117"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7"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7"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7"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7"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18" spans="1:8" ht="27.75" x14ac:dyDescent="0.45">
      <c r="A118" s="107"/>
      <c r="C118" s="360" t="s">
        <v>360</v>
      </c>
      <c r="D118"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8"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8"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8"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8"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19" spans="1:8" ht="27.75" x14ac:dyDescent="0.45">
      <c r="A119" s="107"/>
      <c r="C119" s="360" t="s">
        <v>361</v>
      </c>
      <c r="D119"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19"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19"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19"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19"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20" spans="1:8" ht="27.75" x14ac:dyDescent="0.45">
      <c r="A120" s="107"/>
      <c r="C120" s="360" t="s">
        <v>362</v>
      </c>
      <c r="D120"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20"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20"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20"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20"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21" spans="1:8" ht="27.75" x14ac:dyDescent="0.45">
      <c r="A121" s="107"/>
      <c r="C121" s="353" t="s">
        <v>363</v>
      </c>
      <c r="D121"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Row],[Transportmittel]],Transportmittel_AntransportStreumittel,Emissionsfaktoren!D$35:D$46)</f>
        <v>0</v>
      </c>
      <c r="E121"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Row],[Transportmittel]],Transportmittel_AntransportStreumittel,Emissionsfaktoren!E$35:E$46)</f>
        <v>0</v>
      </c>
      <c r="F121"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Row],[Transportmittel]],Transportmittel_AntransportStreumittel,Emissionsfaktoren!F$35:F$46)</f>
        <v>0</v>
      </c>
      <c r="G121"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Row],[Transportmittel]],Transportmittel_AntransportStreumittel,Emissionsfaktoren!G$35:G$46)</f>
        <v>0</v>
      </c>
      <c r="H121" s="344">
        <f>SUMIF(Eingabe_Antransport[Transportmittel],Result_Antransport[[#This Row],[Transportmittel]],Eingabe_Antransport[Tonnenkilometer (automatisch berechneter Wert) (tkm/funktionelle Einheit)])*2*_xlfn.XLOOKUP(Result_Antransport[[#This Row],[Transportmittel]],Transportmittel_AntransportStreumittel,Emissionsfaktoren!H$35:H$46)</f>
        <v>0</v>
      </c>
    </row>
    <row r="122" spans="1:8" ht="27.75" x14ac:dyDescent="0.45">
      <c r="A122" s="107"/>
      <c r="C122" s="353" t="s">
        <v>32</v>
      </c>
      <c r="D122" s="344">
        <f>SUBTOTAL(109,Result_Antransport[Kumulierter Energie Aufwand
(MJ / funktionelle Einheit)])</f>
        <v>0</v>
      </c>
      <c r="E122" s="344">
        <f>SUBTOTAL(109,Result_Antransport[Treibhauspotenzial 
(kg CO2-Äq / funktionelle Einheit)])</f>
        <v>0</v>
      </c>
      <c r="F122" s="344">
        <f>SUBTOTAL(109,Result_Antransport[Versauerungspotenzial
(mol H+-Äq/ funktionelle Einheit)])</f>
        <v>0</v>
      </c>
      <c r="G122" s="344">
        <f>SUBTOTAL(109,Result_Antransport[Ozonabbaupotenzial
(kg CFC11-Äq / funktionelle Einheit)])</f>
        <v>0</v>
      </c>
      <c r="H122" s="344">
        <f>SUBTOTAL(109,Result_Antransport[Photooxidantienpotenzial 
(kg NMVOC-Äq / funktionelle Einheit)])</f>
        <v>0</v>
      </c>
    </row>
    <row r="123" spans="1:8" x14ac:dyDescent="0.35">
      <c r="A123" s="107"/>
      <c r="C123" s="116"/>
      <c r="D123" s="114"/>
      <c r="E123" s="114"/>
      <c r="F123" s="114"/>
      <c r="G123" s="114"/>
      <c r="H123" s="114"/>
    </row>
    <row r="124" spans="1:8" ht="28.5" x14ac:dyDescent="0.45">
      <c r="A124" s="107"/>
      <c r="B124" s="325" t="s">
        <v>240</v>
      </c>
      <c r="C124" s="328" t="str">
        <f>C66</f>
        <v>Ausbringung der Streumittel (direkte Emisssionen bei der Ausbringung und Herstellung Kraftstoffe)</v>
      </c>
      <c r="D124" s="114"/>
      <c r="E124" s="114"/>
      <c r="F124" s="114"/>
      <c r="G124" s="114"/>
      <c r="H124" s="114"/>
    </row>
    <row r="125" spans="1:8" ht="86.25" x14ac:dyDescent="0.45">
      <c r="A125" s="107"/>
      <c r="C125" s="362" t="s">
        <v>235</v>
      </c>
      <c r="D125" s="337" t="s">
        <v>176</v>
      </c>
      <c r="E125" s="342" t="s">
        <v>389</v>
      </c>
      <c r="F125" s="342" t="s">
        <v>390</v>
      </c>
      <c r="G125" s="342" t="s">
        <v>391</v>
      </c>
      <c r="H125" s="342" t="s">
        <v>392</v>
      </c>
    </row>
    <row r="126" spans="1:8" ht="27.75" x14ac:dyDescent="0.45">
      <c r="A126" s="107"/>
      <c r="B126" s="111"/>
      <c r="C126" s="360" t="s">
        <v>367</v>
      </c>
      <c r="D126" s="344" cm="1">
        <f t="array" ref="D12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26" s="344" cm="1">
        <f t="array" ref="E12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26" s="344" cm="1">
        <f t="array" ref="F12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26" s="344" cm="1">
        <f t="array" ref="G12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26" s="344" cm="1">
        <f t="array" ref="H12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27" spans="1:8" ht="27.75" x14ac:dyDescent="0.45">
      <c r="A127" s="107"/>
      <c r="B127" s="115"/>
      <c r="C127" s="361" t="s">
        <v>368</v>
      </c>
      <c r="D127" s="344" cm="1">
        <f t="array" ref="D12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27" s="344" cm="1">
        <f t="array" ref="E12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27" s="344" cm="1">
        <f t="array" ref="F12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27" s="344" cm="1">
        <f t="array" ref="G12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27" s="344" cm="1">
        <f t="array" ref="H12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28" spans="1:8" ht="27.75" x14ac:dyDescent="0.45">
      <c r="A128" s="107"/>
      <c r="B128" s="115"/>
      <c r="C128" s="361" t="s">
        <v>369</v>
      </c>
      <c r="D128" s="344" cm="1">
        <f t="array" ref="D12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28" s="344" cm="1">
        <f t="array" ref="E12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28" s="344" cm="1">
        <f t="array" ref="F12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28" s="344" cm="1">
        <f t="array" ref="G12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28" s="344" cm="1">
        <f t="array" ref="H12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29" spans="1:8" ht="27.75" x14ac:dyDescent="0.45">
      <c r="A129" s="107"/>
      <c r="B129" s="115"/>
      <c r="C129" s="360" t="s">
        <v>370</v>
      </c>
      <c r="D129" s="344" cm="1">
        <f t="array" ref="D12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29" s="344" cm="1">
        <f t="array" ref="E12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29" s="344" cm="1">
        <f t="array" ref="F12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29" s="344" cm="1">
        <f t="array" ref="G12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29" s="344" cm="1">
        <f t="array" ref="H12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0" spans="1:8" ht="27.75" x14ac:dyDescent="0.45">
      <c r="A130" s="107"/>
      <c r="B130" s="115"/>
      <c r="C130" s="360" t="s">
        <v>388</v>
      </c>
      <c r="D130" s="344" cm="1">
        <f t="array" ref="D13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0" s="344" cm="1">
        <f t="array" ref="E13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0" s="344" cm="1">
        <f t="array" ref="F13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0" s="344" cm="1">
        <f t="array" ref="G13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0" s="344" cm="1">
        <f t="array" ref="H13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1" spans="1:8" ht="27.75" x14ac:dyDescent="0.45">
      <c r="A131" s="107"/>
      <c r="B131" s="115"/>
      <c r="C131" s="360" t="s">
        <v>385</v>
      </c>
      <c r="D131" s="344" cm="1">
        <f t="array" ref="D13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1" s="344" cm="1">
        <f t="array" ref="E13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1" s="344" cm="1">
        <f t="array" ref="F13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1" s="344" cm="1">
        <f t="array" ref="G13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1" s="344" cm="1">
        <f t="array" ref="H13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2" spans="1:8" ht="27.75" x14ac:dyDescent="0.45">
      <c r="A132" s="107"/>
      <c r="B132" s="115"/>
      <c r="C132" s="360" t="s">
        <v>386</v>
      </c>
      <c r="D132" s="344" cm="1">
        <f t="array" ref="D13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2" s="344" cm="1">
        <f t="array" ref="E13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2" s="344" cm="1">
        <f t="array" ref="F13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2" s="344" cm="1">
        <f t="array" ref="G13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2" s="344" cm="1">
        <f t="array" ref="H13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3" spans="1:8" ht="27.75" x14ac:dyDescent="0.45">
      <c r="A133" s="107"/>
      <c r="B133" s="115"/>
      <c r="C133" s="360" t="s">
        <v>387</v>
      </c>
      <c r="D133" s="344" cm="1">
        <f t="array" ref="D13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3" s="344" cm="1">
        <f t="array" ref="E13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3" s="344" cm="1">
        <f t="array" ref="F13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3" s="344" cm="1">
        <f t="array" ref="G13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3" s="344" cm="1">
        <f t="array" ref="H13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4" spans="1:8" ht="27.75" x14ac:dyDescent="0.45">
      <c r="A134" s="107"/>
      <c r="B134" s="115"/>
      <c r="C134" s="360" t="s">
        <v>397</v>
      </c>
      <c r="D134" s="344" cm="1">
        <f t="array" ref="D134">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4" s="344" cm="1">
        <f t="array" ref="E134">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4" s="344" cm="1">
        <f t="array" ref="F134">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4" s="344" cm="1">
        <f t="array" ref="G134">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4" s="344" cm="1">
        <f t="array" ref="H134">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5" spans="1:8" ht="27.75" x14ac:dyDescent="0.45">
      <c r="A135" s="107"/>
      <c r="B135" s="115"/>
      <c r="C135" s="360" t="s">
        <v>398</v>
      </c>
      <c r="D135" s="344" cm="1">
        <f t="array" ref="D135">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5" s="344" cm="1">
        <f t="array" ref="E135">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5" s="344" cm="1">
        <f t="array" ref="F135">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5" s="344" cm="1">
        <f t="array" ref="G135">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5" s="344" cm="1">
        <f t="array" ref="H135">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6" spans="1:8" ht="27.75" x14ac:dyDescent="0.45">
      <c r="A136" s="107"/>
      <c r="B136" s="115"/>
      <c r="C136" s="360" t="s">
        <v>399</v>
      </c>
      <c r="D136" s="344" cm="1">
        <f t="array" ref="D13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6" s="344" cm="1">
        <f t="array" ref="E13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6" s="344" cm="1">
        <f t="array" ref="F13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6" s="344" cm="1">
        <f t="array" ref="G13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6" s="344" cm="1">
        <f t="array" ref="H136">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7" spans="1:8" ht="27.75" x14ac:dyDescent="0.45">
      <c r="A137" s="107"/>
      <c r="B137" s="115"/>
      <c r="C137" s="360" t="s">
        <v>400</v>
      </c>
      <c r="D137" s="344" cm="1">
        <f t="array" ref="D13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7" s="344" cm="1">
        <f t="array" ref="E13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7" s="344" cm="1">
        <f t="array" ref="F13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7" s="344" cm="1">
        <f t="array" ref="G13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37" s="344" cm="1">
        <f t="array" ref="H137">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8" spans="1:8" ht="27.75" x14ac:dyDescent="0.45">
      <c r="A138" s="107"/>
      <c r="B138" s="115"/>
      <c r="C138" s="360" t="s">
        <v>364</v>
      </c>
      <c r="D138" s="344" cm="1">
        <f t="array" ref="D13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8" s="344" cm="1">
        <f t="array" ref="E13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8" s="344" cm="1">
        <f t="array" ref="F13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8" s="344" t="str" cm="1">
        <f t="array" ref="G138">IFERROR(SUMIF(Eingabe_Ausbringungen[Angaben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Einheit)]),"k.A.")</f>
        <v>k.A.</v>
      </c>
      <c r="H138" s="344" cm="1">
        <f t="array" ref="H138">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39" spans="1:8" ht="27.75" x14ac:dyDescent="0.45">
      <c r="A139" s="107"/>
      <c r="B139" s="115"/>
      <c r="C139" s="353" t="s">
        <v>365</v>
      </c>
      <c r="D139" s="344" cm="1">
        <f t="array" ref="D13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39" s="344" cm="1">
        <f t="array" ref="E13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39" s="344" cm="1">
        <f t="array" ref="F13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39" s="344" t="str" cm="1">
        <f t="array" ref="G139">IFERROR(SUMIF(Eingabe_Ausbringungen[Angaben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Einheit)]),"k.A.")</f>
        <v>k.A.</v>
      </c>
      <c r="H139" s="344" cm="1">
        <f t="array" ref="H139">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40" spans="1:8" ht="27.75" x14ac:dyDescent="0.45">
      <c r="A140" s="107"/>
      <c r="B140" s="115"/>
      <c r="C140" s="360" t="s">
        <v>233</v>
      </c>
      <c r="D140" s="344" cm="1">
        <f t="array" ref="D14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40" s="344" cm="1">
        <f t="array" ref="E14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40" s="344" cm="1">
        <f t="array" ref="F14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40" s="344" cm="1">
        <f t="array" ref="G14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40" s="344" cm="1">
        <f t="array" ref="H140">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41" spans="1:8" ht="27.75" x14ac:dyDescent="0.45">
      <c r="A141" s="107"/>
      <c r="B141" s="115"/>
      <c r="C141" s="360" t="s">
        <v>234</v>
      </c>
      <c r="D141" s="344" cm="1">
        <f t="array" ref="D14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41" s="344" cm="1">
        <f t="array" ref="E14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41" s="344" cm="1">
        <f t="array" ref="F14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41" s="344" cm="1">
        <f t="array" ref="G14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41" s="344" cm="1">
        <f t="array" ref="H141">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42" spans="1:8" ht="27.75" x14ac:dyDescent="0.45">
      <c r="A142" s="107"/>
      <c r="B142" s="115"/>
      <c r="C142" s="360" t="s">
        <v>366</v>
      </c>
      <c r="D142" s="344" cm="1">
        <f t="array" ref="D14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42" s="344" cm="1">
        <f t="array" ref="E14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42" s="344" cm="1">
        <f t="array" ref="F14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42" s="344" t="str" cm="1">
        <f t="array" ref="G142">IFERROR(SUMIF(Eingabe_Ausbringungen[Angaben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Einheit)]),"k.A.")</f>
        <v>k.A.</v>
      </c>
      <c r="H142" s="344" cm="1">
        <f t="array" ref="H142">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43" spans="1:8" ht="27.75" x14ac:dyDescent="0.45">
      <c r="A143" s="107"/>
      <c r="B143" s="115"/>
      <c r="C143" s="360" t="s">
        <v>372</v>
      </c>
      <c r="D143" s="344" cm="1">
        <f t="array" ref="D14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Kraftstoffe)]],Auswahl_Lkw_pkw,EF_Ausbringung[KEA (MJ  / Einheit)])</f>
        <v>0</v>
      </c>
      <c r="E143" s="344" cm="1">
        <f t="array" ref="E14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Kraftstoffe)]],Auswahl_Lkw_pkw,EF_Ausbringung[GWP (kg CO2Äq. / Einheit)])</f>
        <v>0</v>
      </c>
      <c r="F143" s="344" cm="1">
        <f t="array" ref="F14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Kraftstoffe)]],Auswahl_Lkw_pkw,EF_Ausbringung[AP (mol H+ Äq. / Einheit)])</f>
        <v>0</v>
      </c>
      <c r="G143" s="344" cm="1">
        <f t="array" ref="G14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Kraftstoffe)]],Auswahl_Lkw_pkw,EF_Ausbringung[ODP (kg FCKW-11 Äq. / Einheit)])</f>
        <v>0</v>
      </c>
      <c r="H143" s="344" cm="1">
        <f t="array" ref="H143">SUMIF(Eingabe_Ausbringungen[Angaben zu den Fahrzeugen (Lkw: zulässiges Gesamtgewicht, Euro Norm, Kraftstoff)],Result_Ausbringung[[#This Row],[Fahrzeuge (Lkw, zulässiges Gesamtgewicht, Euro_Norm, Kraftstoffe)]],Eingabe_Ausbringungen[Verbrauch Kraftstoffe])*_xlfn.XLOOKUP(Result_Ausbringung[[#This Row],[Fahrzeuge (Lkw, zulässiges Gesamtgewicht, Euro_Norm, Kraftstoffe)]],Auswahl_Lkw_pkw,EF_Ausbringung[POCP (kg NMVOC Äq. / Einheit)])</f>
        <v>0</v>
      </c>
    </row>
    <row r="144" spans="1:8" ht="27.75" x14ac:dyDescent="0.45">
      <c r="A144" s="107"/>
      <c r="B144" s="115"/>
      <c r="C144" s="353" t="s">
        <v>32</v>
      </c>
      <c r="D144" s="344">
        <f>SUBTOTAL(109,Result_Ausbringung[Kumulierter Energie Aufwand
(MJ / funktionelle Einheit)])</f>
        <v>0</v>
      </c>
      <c r="E144" s="344">
        <f>SUBTOTAL(109,Result_Ausbringung[Treibhauspotenzial 
(kg CO2-Äq / funktionelle Einheit)])</f>
        <v>0</v>
      </c>
      <c r="F144" s="344">
        <f>SUBTOTAL(109,Result_Ausbringung[Versauerungspotenzial
(mol H+-Äq/ funktionelle Einheit)])</f>
        <v>0</v>
      </c>
      <c r="G144" s="344">
        <f>SUBTOTAL(109,Result_Ausbringung[Ozonabbaupotenzial
(kg CFC11-Äq / funktionelle Einheit)])</f>
        <v>0</v>
      </c>
      <c r="H144" s="344">
        <f>SUBTOTAL(109,Result_Ausbringung[Photooxidantienpotenzial 
(kg NMVOC-Äq / funktionelle Einheit)])</f>
        <v>0</v>
      </c>
    </row>
    <row r="145" spans="1:8" x14ac:dyDescent="0.35">
      <c r="A145" s="107"/>
      <c r="B145" s="115"/>
      <c r="C145" s="119"/>
      <c r="D145" s="114"/>
      <c r="E145" s="114"/>
      <c r="F145" s="114"/>
      <c r="G145" s="114"/>
      <c r="H145" s="114"/>
    </row>
    <row r="146" spans="1:8" ht="28.5" x14ac:dyDescent="0.45">
      <c r="A146" s="107"/>
      <c r="B146" s="325" t="s">
        <v>241</v>
      </c>
      <c r="C146" s="328" t="str">
        <f>Ergebnis_eigene_Wärmeerzeugung</f>
        <v>Wärmeverbrauch in der Meisterei / im Bauhof (Bereitstellung Wärme, eigene Wärmeerzeugung)</v>
      </c>
      <c r="D146" s="114"/>
      <c r="E146" s="114"/>
      <c r="F146" s="114"/>
      <c r="G146" s="114"/>
      <c r="H146" s="114"/>
    </row>
    <row r="147" spans="1:8" ht="86.25" x14ac:dyDescent="0.45">
      <c r="A147" s="107"/>
      <c r="C147" s="363" t="s">
        <v>103</v>
      </c>
      <c r="D147" s="337" t="s">
        <v>176</v>
      </c>
      <c r="E147" s="342" t="s">
        <v>389</v>
      </c>
      <c r="F147" s="342" t="s">
        <v>390</v>
      </c>
      <c r="G147" s="342" t="s">
        <v>391</v>
      </c>
      <c r="H147" s="342" t="s">
        <v>392</v>
      </c>
    </row>
    <row r="148" spans="1:8" ht="27.75" x14ac:dyDescent="0.45">
      <c r="A148" s="107"/>
      <c r="B148" s="111"/>
      <c r="C148" s="360" t="s">
        <v>222</v>
      </c>
      <c r="D148" s="344">
        <f>'Eingabe spezifische Daten'!$F38*Emissionsfaktoren!D$89</f>
        <v>0</v>
      </c>
      <c r="E148" s="344">
        <f>'Eingabe spezifische Daten'!$F38*Emissionsfaktoren!E$89</f>
        <v>0</v>
      </c>
      <c r="F148" s="344">
        <f>'Eingabe spezifische Daten'!$F38*Emissionsfaktoren!F$89</f>
        <v>0</v>
      </c>
      <c r="G148" s="344">
        <f>'Eingabe spezifische Daten'!$F38*Emissionsfaktoren!G$89</f>
        <v>0</v>
      </c>
      <c r="H148" s="344">
        <f>'Eingabe spezifische Daten'!$F38*Emissionsfaktoren!H$89</f>
        <v>0</v>
      </c>
    </row>
    <row r="149" spans="1:8" ht="27.75" x14ac:dyDescent="0.45">
      <c r="A149" s="107"/>
      <c r="B149" s="115"/>
      <c r="C149" s="361" t="s">
        <v>223</v>
      </c>
      <c r="D149" s="344">
        <f>'Eingabe spezifische Daten'!$F39*Emissionsfaktoren!D$90</f>
        <v>0</v>
      </c>
      <c r="E149" s="344">
        <f>'Eingabe spezifische Daten'!$F39*Emissionsfaktoren!E$90</f>
        <v>0</v>
      </c>
      <c r="F149" s="344">
        <f>'Eingabe spezifische Daten'!$F39*Emissionsfaktoren!F$90</f>
        <v>0</v>
      </c>
      <c r="G149" s="344">
        <f>'Eingabe spezifische Daten'!$F39*Emissionsfaktoren!G$90</f>
        <v>0</v>
      </c>
      <c r="H149" s="344">
        <f>'Eingabe spezifische Daten'!$F39*Emissionsfaktoren!H$90</f>
        <v>0</v>
      </c>
    </row>
    <row r="150" spans="1:8" ht="27.75" x14ac:dyDescent="0.45">
      <c r="A150" s="107"/>
      <c r="B150" s="115"/>
      <c r="C150" s="360" t="s">
        <v>224</v>
      </c>
      <c r="D150" s="344">
        <f>'Eingabe spezifische Daten'!$F40*Emissionsfaktoren!D$91</f>
        <v>0</v>
      </c>
      <c r="E150" s="344">
        <f>'Eingabe spezifische Daten'!$F40*Emissionsfaktoren!E$91</f>
        <v>0</v>
      </c>
      <c r="F150" s="344">
        <f>'Eingabe spezifische Daten'!$F40*Emissionsfaktoren!F$91</f>
        <v>0</v>
      </c>
      <c r="G150" s="344">
        <f>'Eingabe spezifische Daten'!$F40*Emissionsfaktoren!G$91</f>
        <v>0</v>
      </c>
      <c r="H150" s="344">
        <f>'Eingabe spezifische Daten'!$F40*Emissionsfaktoren!H$91</f>
        <v>0</v>
      </c>
    </row>
    <row r="151" spans="1:8" ht="27.75" x14ac:dyDescent="0.45">
      <c r="A151" s="107"/>
      <c r="B151" s="115"/>
      <c r="C151" s="360" t="s">
        <v>218</v>
      </c>
      <c r="D151" s="344">
        <f>'Eingabe spezifische Daten'!$F41*Emissionsfaktoren!D$92</f>
        <v>0</v>
      </c>
      <c r="E151" s="344">
        <f>'Eingabe spezifische Daten'!$F41*Emissionsfaktoren!E$92</f>
        <v>0</v>
      </c>
      <c r="F151" s="344">
        <f>'Eingabe spezifische Daten'!$F41*Emissionsfaktoren!F$92</f>
        <v>0</v>
      </c>
      <c r="G151" s="344">
        <f>'Eingabe spezifische Daten'!$F41*Emissionsfaktoren!G$92</f>
        <v>0</v>
      </c>
      <c r="H151" s="344">
        <f>'Eingabe spezifische Daten'!$F41*Emissionsfaktoren!H$92</f>
        <v>0</v>
      </c>
    </row>
    <row r="152" spans="1:8" ht="27.75" x14ac:dyDescent="0.45">
      <c r="A152" s="107"/>
      <c r="B152" s="115"/>
      <c r="C152" s="361" t="s">
        <v>310</v>
      </c>
      <c r="D152" s="344">
        <f>'Eingabe spezifische Daten'!$F42*Emissionsfaktoren!D$93</f>
        <v>0</v>
      </c>
      <c r="E152" s="344">
        <f>'Eingabe spezifische Daten'!$F42*Emissionsfaktoren!E$93</f>
        <v>0</v>
      </c>
      <c r="F152" s="344">
        <f>'Eingabe spezifische Daten'!$F42*Emissionsfaktoren!F$93</f>
        <v>0</v>
      </c>
      <c r="G152" s="344">
        <f>'Eingabe spezifische Daten'!$F42*Emissionsfaktoren!G$93</f>
        <v>0</v>
      </c>
      <c r="H152" s="344">
        <f>'Eingabe spezifische Daten'!$F42*Emissionsfaktoren!H$93</f>
        <v>0</v>
      </c>
    </row>
    <row r="153" spans="1:8" ht="27.75" x14ac:dyDescent="0.45">
      <c r="A153" s="107"/>
      <c r="B153" s="115"/>
      <c r="C153" s="353" t="s">
        <v>153</v>
      </c>
      <c r="D153" s="344">
        <f>'Eingabe spezifische Daten'!$F43*Emissionsfaktoren!D$94</f>
        <v>0</v>
      </c>
      <c r="E153" s="344">
        <f>'Eingabe spezifische Daten'!$F43*Emissionsfaktoren!E$94</f>
        <v>0</v>
      </c>
      <c r="F153" s="344">
        <f>'Eingabe spezifische Daten'!$F43*Emissionsfaktoren!F$94</f>
        <v>0</v>
      </c>
      <c r="G153" s="344">
        <f>'Eingabe spezifische Daten'!$F43*Emissionsfaktoren!G$94</f>
        <v>0</v>
      </c>
      <c r="H153" s="344">
        <f>'Eingabe spezifische Daten'!$F43*Emissionsfaktoren!H$94</f>
        <v>0</v>
      </c>
    </row>
    <row r="154" spans="1:8" ht="27.75" x14ac:dyDescent="0.45">
      <c r="A154" s="107"/>
      <c r="B154" s="115"/>
      <c r="C154" s="353" t="s">
        <v>32</v>
      </c>
      <c r="D154" s="344">
        <f>SUBTOTAL(109,Result_Eigen_Wärmebereitstellung[Kumulierter Energie Aufwand
(MJ / funktionelle Einheit)])</f>
        <v>0</v>
      </c>
      <c r="E154" s="344">
        <f>SUBTOTAL(109,Result_Eigen_Wärmebereitstellung[Treibhauspotenzial 
(kg CO2-Äq / funktionelle Einheit)])</f>
        <v>0</v>
      </c>
      <c r="F154" s="344">
        <f>SUBTOTAL(109,Result_Eigen_Wärmebereitstellung[Versauerungspotenzial
(mol H+-Äq/ funktionelle Einheit)])</f>
        <v>0</v>
      </c>
      <c r="G154" s="344">
        <f>SUBTOTAL(109,Result_Eigen_Wärmebereitstellung[Ozonabbaupotenzial
(kg CFC11-Äq / funktionelle Einheit)])</f>
        <v>0</v>
      </c>
      <c r="H154" s="344">
        <f>SUBTOTAL(109,Result_Eigen_Wärmebereitstellung[Photooxidantienpotenzial 
(kg NMVOC-Äq / funktionelle Einheit)])</f>
        <v>0</v>
      </c>
    </row>
    <row r="155" spans="1:8" x14ac:dyDescent="0.35">
      <c r="A155" s="107"/>
      <c r="B155" s="92"/>
      <c r="C155" s="119"/>
      <c r="D155" s="114"/>
      <c r="E155" s="114"/>
      <c r="F155" s="114"/>
      <c r="G155" s="114"/>
      <c r="H155" s="114"/>
    </row>
    <row r="156" spans="1:8" ht="28.5" x14ac:dyDescent="0.45">
      <c r="A156" s="107"/>
      <c r="B156" s="329" t="s">
        <v>242</v>
      </c>
      <c r="C156" s="328" t="s">
        <v>106</v>
      </c>
      <c r="D156" s="114"/>
      <c r="E156" s="114"/>
      <c r="F156" s="114"/>
      <c r="G156" s="114"/>
      <c r="H156" s="114"/>
    </row>
    <row r="157" spans="1:8" ht="27.75" x14ac:dyDescent="0.45">
      <c r="A157" s="107"/>
      <c r="C157" s="338" t="s">
        <v>229</v>
      </c>
      <c r="D157" s="338" t="s">
        <v>232</v>
      </c>
      <c r="E157" s="364" t="s">
        <v>100</v>
      </c>
      <c r="F157" s="114"/>
      <c r="G157" s="114"/>
      <c r="H157" s="114"/>
    </row>
    <row r="158" spans="1:8" ht="27.75" x14ac:dyDescent="0.45">
      <c r="A158" s="107"/>
      <c r="B158" s="92"/>
      <c r="C158" s="339" t="s">
        <v>31</v>
      </c>
      <c r="D158" s="344">
        <f>Eingabe_Leitungswasser</f>
        <v>0</v>
      </c>
      <c r="E158" s="365" t="e">
        <f>D158/$D$160</f>
        <v>#DIV/0!</v>
      </c>
      <c r="F158" s="114"/>
      <c r="G158" s="114"/>
      <c r="H158" s="114"/>
    </row>
    <row r="159" spans="1:8" ht="27.75" x14ac:dyDescent="0.45">
      <c r="A159" s="107"/>
      <c r="B159" s="120"/>
      <c r="C159" s="339" t="s">
        <v>214</v>
      </c>
      <c r="D159" s="344">
        <f>Eingabe_Regenwasser</f>
        <v>0</v>
      </c>
      <c r="E159" s="365" t="e">
        <f>D159/$D$160</f>
        <v>#DIV/0!</v>
      </c>
      <c r="F159" s="114"/>
      <c r="G159" s="114"/>
      <c r="H159" s="114"/>
    </row>
    <row r="160" spans="1:8" ht="27.75" x14ac:dyDescent="0.45">
      <c r="A160" s="107"/>
      <c r="B160" s="92"/>
      <c r="C160" s="339" t="s">
        <v>32</v>
      </c>
      <c r="D160" s="344">
        <f>SUM(D158:D159)</f>
        <v>0</v>
      </c>
      <c r="E160" s="365" t="e">
        <f>D160/$D$160</f>
        <v>#DIV/0!</v>
      </c>
      <c r="F160" s="114"/>
      <c r="G160" s="114"/>
      <c r="H160" s="114"/>
    </row>
    <row r="161" spans="1:8" x14ac:dyDescent="0.35">
      <c r="A161" s="107"/>
      <c r="B161" s="115"/>
      <c r="C161" s="119"/>
      <c r="D161" s="114"/>
      <c r="E161" s="114"/>
      <c r="F161" s="114"/>
      <c r="G161" s="114"/>
      <c r="H161" s="114"/>
    </row>
    <row r="162" spans="1:8" x14ac:dyDescent="0.35">
      <c r="A162" s="107"/>
      <c r="B162" s="115"/>
      <c r="C162" s="119"/>
      <c r="D162" s="114"/>
      <c r="E162" s="114"/>
      <c r="F162" s="114"/>
      <c r="G162" s="114"/>
      <c r="H162" s="114"/>
    </row>
    <row r="163" spans="1:8" s="105" customFormat="1" x14ac:dyDescent="0.35"/>
    <row r="164" spans="1:8" ht="28.5" x14ac:dyDescent="0.45">
      <c r="A164" s="121"/>
      <c r="B164" s="321" t="s">
        <v>174</v>
      </c>
      <c r="C164" s="330"/>
    </row>
    <row r="165" spans="1:8" x14ac:dyDescent="0.35">
      <c r="A165" s="121"/>
    </row>
    <row r="166" spans="1:8" x14ac:dyDescent="0.35">
      <c r="A166" s="121"/>
      <c r="C166" s="116"/>
      <c r="D166" s="114"/>
      <c r="E166" s="114"/>
      <c r="F166" s="114"/>
      <c r="G166" s="114"/>
      <c r="H166" s="114"/>
    </row>
    <row r="167" spans="1:8" x14ac:dyDescent="0.35">
      <c r="A167" s="121"/>
    </row>
    <row r="168" spans="1:8" x14ac:dyDescent="0.35">
      <c r="A168" s="121"/>
    </row>
    <row r="169" spans="1:8" x14ac:dyDescent="0.35">
      <c r="A169" s="121"/>
    </row>
    <row r="170" spans="1:8" x14ac:dyDescent="0.35">
      <c r="A170" s="121"/>
    </row>
    <row r="171" spans="1:8" x14ac:dyDescent="0.35">
      <c r="A171" s="121"/>
    </row>
    <row r="172" spans="1:8" x14ac:dyDescent="0.35">
      <c r="A172" s="121"/>
    </row>
    <row r="173" spans="1:8" x14ac:dyDescent="0.35">
      <c r="A173" s="121"/>
    </row>
    <row r="174" spans="1:8" x14ac:dyDescent="0.35">
      <c r="A174" s="121"/>
    </row>
    <row r="175" spans="1:8" x14ac:dyDescent="0.35">
      <c r="A175" s="121"/>
    </row>
    <row r="176" spans="1:8" x14ac:dyDescent="0.35">
      <c r="A176" s="121"/>
    </row>
    <row r="177" spans="1:9" x14ac:dyDescent="0.35">
      <c r="A177" s="121"/>
    </row>
    <row r="178" spans="1:9" x14ac:dyDescent="0.35">
      <c r="A178" s="121"/>
    </row>
    <row r="179" spans="1:9" x14ac:dyDescent="0.35">
      <c r="A179" s="121"/>
    </row>
    <row r="180" spans="1:9" x14ac:dyDescent="0.35">
      <c r="A180" s="121"/>
    </row>
    <row r="181" spans="1:9" ht="26.25" x14ac:dyDescent="0.4">
      <c r="A181" s="121"/>
      <c r="I181" s="331"/>
    </row>
    <row r="182" spans="1:9" x14ac:dyDescent="0.35">
      <c r="A182" s="121"/>
    </row>
    <row r="183" spans="1:9" x14ac:dyDescent="0.35">
      <c r="A183" s="121"/>
    </row>
    <row r="184" spans="1:9" x14ac:dyDescent="0.35">
      <c r="A184" s="121"/>
    </row>
    <row r="185" spans="1:9" x14ac:dyDescent="0.35">
      <c r="A185" s="121"/>
    </row>
    <row r="186" spans="1:9" x14ac:dyDescent="0.35">
      <c r="A186" s="121"/>
    </row>
    <row r="187" spans="1:9" x14ac:dyDescent="0.35">
      <c r="A187" s="121"/>
    </row>
    <row r="188" spans="1:9" x14ac:dyDescent="0.35">
      <c r="A188" s="121"/>
    </row>
    <row r="189" spans="1:9" x14ac:dyDescent="0.35">
      <c r="A189" s="121"/>
    </row>
    <row r="190" spans="1:9" x14ac:dyDescent="0.35">
      <c r="A190" s="121"/>
    </row>
    <row r="191" spans="1:9" x14ac:dyDescent="0.35">
      <c r="A191" s="121"/>
    </row>
    <row r="192" spans="1:9" x14ac:dyDescent="0.35">
      <c r="A192" s="121"/>
    </row>
    <row r="193" spans="1:1" x14ac:dyDescent="0.35">
      <c r="A193" s="121"/>
    </row>
    <row r="194" spans="1:1" x14ac:dyDescent="0.35">
      <c r="A194" s="121"/>
    </row>
    <row r="195" spans="1:1" x14ac:dyDescent="0.35">
      <c r="A195" s="121"/>
    </row>
    <row r="196" spans="1:1" x14ac:dyDescent="0.35">
      <c r="A196" s="121"/>
    </row>
    <row r="197" spans="1:1" x14ac:dyDescent="0.35">
      <c r="A197" s="121"/>
    </row>
    <row r="198" spans="1:1" x14ac:dyDescent="0.35">
      <c r="A198" s="121"/>
    </row>
    <row r="199" spans="1:1" x14ac:dyDescent="0.35">
      <c r="A199" s="121"/>
    </row>
    <row r="200" spans="1:1" x14ac:dyDescent="0.35">
      <c r="A200" s="121"/>
    </row>
    <row r="201" spans="1:1" x14ac:dyDescent="0.35">
      <c r="A201" s="121"/>
    </row>
    <row r="202" spans="1:1" x14ac:dyDescent="0.35">
      <c r="A202" s="121"/>
    </row>
    <row r="203" spans="1:1" x14ac:dyDescent="0.35">
      <c r="A203" s="121"/>
    </row>
    <row r="204" spans="1:1" x14ac:dyDescent="0.35">
      <c r="A204" s="121"/>
    </row>
    <row r="205" spans="1:1" x14ac:dyDescent="0.35">
      <c r="A205" s="121"/>
    </row>
    <row r="206" spans="1:1" x14ac:dyDescent="0.35">
      <c r="A206" s="121"/>
    </row>
    <row r="207" spans="1:1" x14ac:dyDescent="0.35">
      <c r="A207" s="121"/>
    </row>
    <row r="208" spans="1:1" x14ac:dyDescent="0.35">
      <c r="A208" s="121"/>
    </row>
    <row r="209" spans="1:1" x14ac:dyDescent="0.35">
      <c r="A209" s="121"/>
    </row>
    <row r="210" spans="1:1" x14ac:dyDescent="0.35">
      <c r="A210" s="121"/>
    </row>
    <row r="211" spans="1:1" x14ac:dyDescent="0.35">
      <c r="A211" s="121"/>
    </row>
    <row r="212" spans="1:1" x14ac:dyDescent="0.35">
      <c r="A212" s="121"/>
    </row>
    <row r="213" spans="1:1" x14ac:dyDescent="0.35">
      <c r="A213" s="121"/>
    </row>
    <row r="214" spans="1:1" x14ac:dyDescent="0.35">
      <c r="A214" s="121"/>
    </row>
    <row r="215" spans="1:1" x14ac:dyDescent="0.35">
      <c r="A215" s="121"/>
    </row>
    <row r="216" spans="1:1" x14ac:dyDescent="0.35">
      <c r="A216" s="121"/>
    </row>
    <row r="217" spans="1:1" x14ac:dyDescent="0.35">
      <c r="A217" s="121"/>
    </row>
    <row r="218" spans="1:1" x14ac:dyDescent="0.35">
      <c r="A218" s="121"/>
    </row>
    <row r="219" spans="1:1" x14ac:dyDescent="0.35">
      <c r="A219" s="121"/>
    </row>
    <row r="220" spans="1:1" x14ac:dyDescent="0.35">
      <c r="A220" s="121"/>
    </row>
    <row r="221" spans="1:1" x14ac:dyDescent="0.35">
      <c r="A221" s="121"/>
    </row>
    <row r="222" spans="1:1" x14ac:dyDescent="0.35">
      <c r="A222" s="121"/>
    </row>
    <row r="223" spans="1:1" x14ac:dyDescent="0.35">
      <c r="A223" s="121"/>
    </row>
    <row r="224" spans="1:1" s="105" customFormat="1" x14ac:dyDescent="0.35"/>
    <row r="225" spans="1:3" ht="28.5" x14ac:dyDescent="0.45">
      <c r="A225" s="122"/>
      <c r="B225" s="327" t="s">
        <v>117</v>
      </c>
      <c r="C225" s="330"/>
    </row>
    <row r="226" spans="1:3" x14ac:dyDescent="0.35">
      <c r="A226" s="122"/>
      <c r="B226" s="111"/>
    </row>
    <row r="227" spans="1:3" x14ac:dyDescent="0.35">
      <c r="A227" s="122"/>
    </row>
    <row r="228" spans="1:3" x14ac:dyDescent="0.35">
      <c r="A228" s="122"/>
    </row>
    <row r="229" spans="1:3" x14ac:dyDescent="0.35">
      <c r="A229" s="122"/>
    </row>
    <row r="230" spans="1:3" x14ac:dyDescent="0.35">
      <c r="A230" s="122"/>
    </row>
    <row r="231" spans="1:3" x14ac:dyDescent="0.35">
      <c r="A231" s="122"/>
    </row>
    <row r="232" spans="1:3" x14ac:dyDescent="0.35">
      <c r="A232" s="122"/>
    </row>
    <row r="233" spans="1:3" x14ac:dyDescent="0.35">
      <c r="A233" s="122"/>
    </row>
    <row r="234" spans="1:3" x14ac:dyDescent="0.35">
      <c r="A234" s="122"/>
    </row>
    <row r="235" spans="1:3" x14ac:dyDescent="0.35">
      <c r="A235" s="122"/>
    </row>
    <row r="236" spans="1:3" x14ac:dyDescent="0.35">
      <c r="A236" s="122"/>
    </row>
    <row r="237" spans="1:3" x14ac:dyDescent="0.35">
      <c r="A237" s="122"/>
    </row>
  </sheetData>
  <sheetProtection algorithmName="SHA-512" hashValue="723PY9B4IH0rSjECAz+g9PCVYgYFIh3D+hw9QQcqEvVUYUgeX/bm4ZUYsKvTcM28ntBAjpbLL1VS3J2AXbz4RA==" saltValue="bIIRFirFEH+/rehdZPV/zg==" spinCount="100000" sheet="1" objects="1" scenarios="1"/>
  <mergeCells count="11">
    <mergeCell ref="D26:H26"/>
    <mergeCell ref="D16:H16"/>
    <mergeCell ref="D17:H17"/>
    <mergeCell ref="D18:H18"/>
    <mergeCell ref="D11:F11"/>
    <mergeCell ref="D15:H15"/>
    <mergeCell ref="D25:H25"/>
    <mergeCell ref="D22:H22"/>
    <mergeCell ref="D23:H23"/>
    <mergeCell ref="D24:H24"/>
    <mergeCell ref="D19:H19"/>
  </mergeCells>
  <conditionalFormatting sqref="D64:D72">
    <cfRule type="dataBar" priority="28">
      <dataBar>
        <cfvo type="min"/>
        <cfvo type="max"/>
        <color theme="5" tint="-0.249977111117893"/>
      </dataBar>
      <extLst>
        <ext xmlns:x14="http://schemas.microsoft.com/office/spreadsheetml/2009/9/main" uri="{B025F937-C7B1-47D3-B67F-A62EFF666E3E}">
          <x14:id>{74395CDD-7220-42F4-82F7-31332F61A41F}</x14:id>
        </ext>
      </extLst>
    </cfRule>
  </conditionalFormatting>
  <conditionalFormatting sqref="E64:E72">
    <cfRule type="dataBar" priority="27">
      <dataBar>
        <cfvo type="min"/>
        <cfvo type="max"/>
        <color rgb="FFFF66CC"/>
      </dataBar>
      <extLst>
        <ext xmlns:x14="http://schemas.microsoft.com/office/spreadsheetml/2009/9/main" uri="{B025F937-C7B1-47D3-B67F-A62EFF666E3E}">
          <x14:id>{1401AF53-C9EF-48C7-B8B4-BCF4E99FF47A}</x14:id>
        </ext>
      </extLst>
    </cfRule>
  </conditionalFormatting>
  <conditionalFormatting sqref="F64:F72">
    <cfRule type="dataBar" priority="26">
      <dataBar>
        <cfvo type="min"/>
        <cfvo type="max"/>
        <color rgb="FFFFC000"/>
      </dataBar>
      <extLst>
        <ext xmlns:x14="http://schemas.microsoft.com/office/spreadsheetml/2009/9/main" uri="{B025F937-C7B1-47D3-B67F-A62EFF666E3E}">
          <x14:id>{D24ACEFC-4C65-4893-A918-D01512C87F4C}</x14:id>
        </ext>
      </extLst>
    </cfRule>
  </conditionalFormatting>
  <conditionalFormatting sqref="G64:G72">
    <cfRule type="dataBar" priority="25">
      <dataBar>
        <cfvo type="min"/>
        <cfvo type="max"/>
        <color rgb="FFFFFF00"/>
      </dataBar>
      <extLst>
        <ext xmlns:x14="http://schemas.microsoft.com/office/spreadsheetml/2009/9/main" uri="{B025F937-C7B1-47D3-B67F-A62EFF666E3E}">
          <x14:id>{A8CC3CF6-6C72-4B61-A866-C7471ED0619A}</x14:id>
        </ext>
      </extLst>
    </cfRule>
  </conditionalFormatting>
  <conditionalFormatting sqref="H64:H72">
    <cfRule type="dataBar" priority="24">
      <dataBar>
        <cfvo type="min"/>
        <cfvo type="max"/>
        <color rgb="FF00B0F0"/>
      </dataBar>
      <extLst>
        <ext xmlns:x14="http://schemas.microsoft.com/office/spreadsheetml/2009/9/main" uri="{B025F937-C7B1-47D3-B67F-A62EFF666E3E}">
          <x14:id>{7F5D3B33-BD8D-4EA7-8F14-968C3DD0182D}</x14:id>
        </ext>
      </extLst>
    </cfRule>
  </conditionalFormatting>
  <conditionalFormatting sqref="D64:H72">
    <cfRule type="cellIs" dxfId="211" priority="21" operator="lessThanOrEqual">
      <formula>0</formula>
    </cfRule>
    <cfRule type="cellIs" dxfId="210" priority="22" operator="greaterThan">
      <formula>0</formula>
    </cfRule>
  </conditionalFormatting>
  <conditionalFormatting sqref="D77:H86">
    <cfRule type="cellIs" dxfId="209" priority="19" operator="lessThanOrEqual">
      <formula>0</formula>
    </cfRule>
    <cfRule type="cellIs" dxfId="208" priority="20" operator="greaterThan">
      <formula>0</formula>
    </cfRule>
  </conditionalFormatting>
  <conditionalFormatting sqref="D91:H96">
    <cfRule type="cellIs" dxfId="207" priority="17" operator="lessThanOrEqual">
      <formula>0</formula>
    </cfRule>
    <cfRule type="cellIs" dxfId="206" priority="18" operator="greaterThan">
      <formula>0</formula>
    </cfRule>
  </conditionalFormatting>
  <conditionalFormatting sqref="D100:H106">
    <cfRule type="cellIs" dxfId="205" priority="15" operator="lessThanOrEqual">
      <formula>0</formula>
    </cfRule>
    <cfRule type="cellIs" dxfId="204" priority="16" operator="greaterThan">
      <formula>0</formula>
    </cfRule>
  </conditionalFormatting>
  <conditionalFormatting sqref="D110:H122">
    <cfRule type="cellIs" dxfId="203" priority="13" operator="lessThanOrEqual">
      <formula>0</formula>
    </cfRule>
    <cfRule type="cellIs" dxfId="202" priority="14" operator="greaterThan">
      <formula>0</formula>
    </cfRule>
  </conditionalFormatting>
  <conditionalFormatting sqref="D126:H144">
    <cfRule type="cellIs" dxfId="201" priority="11" operator="lessThanOrEqual">
      <formula>0</formula>
    </cfRule>
    <cfRule type="cellIs" dxfId="200" priority="12" operator="greaterThan">
      <formula>0</formula>
    </cfRule>
  </conditionalFormatting>
  <conditionalFormatting sqref="D148:H154">
    <cfRule type="cellIs" dxfId="199" priority="9" operator="lessThanOrEqual">
      <formula>0</formula>
    </cfRule>
    <cfRule type="cellIs" dxfId="198" priority="10" operator="greaterThan">
      <formula>0</formula>
    </cfRule>
  </conditionalFormatting>
  <conditionalFormatting sqref="D158:D160">
    <cfRule type="cellIs" dxfId="197" priority="7" operator="lessThanOrEqual">
      <formula>0</formula>
    </cfRule>
    <cfRule type="cellIs" dxfId="196" priority="8" operator="greaterThan">
      <formula>0</formula>
    </cfRule>
  </conditionalFormatting>
  <conditionalFormatting sqref="E158:E160">
    <cfRule type="cellIs" dxfId="195" priority="5" operator="lessThanOrEqual">
      <formula>0</formula>
    </cfRule>
    <cfRule type="cellIs" dxfId="194" priority="6" operator="greaterThan">
      <formula>0</formula>
    </cfRule>
  </conditionalFormatting>
  <conditionalFormatting sqref="D35:H36">
    <cfRule type="cellIs" dxfId="193" priority="3" operator="lessThanOrEqual">
      <formula>0</formula>
    </cfRule>
    <cfRule type="cellIs" dxfId="192" priority="4" operator="greaterThan">
      <formula>0</formula>
    </cfRule>
  </conditionalFormatting>
  <conditionalFormatting sqref="D48:E51">
    <cfRule type="cellIs" dxfId="191" priority="1" operator="lessThanOrEqual">
      <formula>0</formula>
    </cfRule>
    <cfRule type="cellIs" dxfId="190" priority="2" operator="greaterThan">
      <formula>0</formula>
    </cfRule>
  </conditionalFormatting>
  <dataValidations disablePrompts="1" count="1">
    <dataValidation allowBlank="1" showInputMessage="1" sqref="E34 E63 E147 E90 E99 E109 E125 E76" xr:uid="{1DCC3F42-9539-4E7C-9523-6A50DC074BC1}"/>
  </dataValidations>
  <printOptions horizontalCentered="1"/>
  <pageMargins left="0.59055118110236227" right="0.59055118110236227" top="0.59055118110236227" bottom="0.59055118110236227" header="0.31496062992125984" footer="0.31496062992125984"/>
  <pageSetup paperSize="9" scale="35" orientation="landscape" r:id="rId1"/>
  <headerFooter scaleWithDoc="0">
    <oddHeader xml:space="preserve">&amp;C&amp;8&amp;K08-022Orientierende Ökobilanz Straßenwinterdienst - Ergebnisse der Berechnung mit dem ÖkoWin-Tool </oddHeader>
    <oddFooter>&amp;L&amp;8&amp;K08-024&amp;A&amp;C&amp;8&amp;K08-024&amp;P / &amp;N&amp;R&amp;8&amp;K08-024&amp;D</oddFooter>
  </headerFooter>
  <rowBreaks count="5" manualBreakCount="5">
    <brk id="28" min="1" max="8" man="1"/>
    <brk id="54" min="1" max="8" man="1"/>
    <brk id="87" min="1" max="8" man="1"/>
    <brk id="123" min="1" max="8" man="1"/>
    <brk id="163"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Ergebnisse.SaveAsPDF">
                <anchor moveWithCells="1" sizeWithCells="1">
                  <from>
                    <xdr:col>2</xdr:col>
                    <xdr:colOff>152400</xdr:colOff>
                    <xdr:row>226</xdr:row>
                    <xdr:rowOff>142875</xdr:rowOff>
                  </from>
                  <to>
                    <xdr:col>2</xdr:col>
                    <xdr:colOff>2466975</xdr:colOff>
                    <xdr:row>228</xdr:row>
                    <xdr:rowOff>142875</xdr:rowOff>
                  </to>
                </anchor>
              </controlPr>
            </control>
          </mc:Choice>
        </mc:AlternateContent>
        <mc:AlternateContent xmlns:mc="http://schemas.openxmlformats.org/markup-compatibility/2006">
          <mc:Choice Requires="x14">
            <control shapeId="8198" r:id="rId5" name="Button 6">
              <controlPr defaultSize="0" print="0" autoFill="0" autoPict="0" macro="[0]!Ergebnisse.Null_Ausblaenden" altText="Abbildung erzeugen">
                <anchor moveWithCells="1" sizeWithCells="1">
                  <from>
                    <xdr:col>2</xdr:col>
                    <xdr:colOff>66675</xdr:colOff>
                    <xdr:row>59</xdr:row>
                    <xdr:rowOff>114300</xdr:rowOff>
                  </from>
                  <to>
                    <xdr:col>2</xdr:col>
                    <xdr:colOff>4067175</xdr:colOff>
                    <xdr:row>61</xdr:row>
                    <xdr:rowOff>152400</xdr:rowOff>
                  </to>
                </anchor>
              </controlPr>
            </control>
          </mc:Choice>
        </mc:AlternateContent>
      </controls>
    </mc:Choice>
  </mc:AlternateContent>
  <tableParts count="7">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dataBar" id="{74395CDD-7220-42F4-82F7-31332F61A41F}">
            <x14:dataBar minLength="0" maxLength="100">
              <x14:cfvo type="autoMin"/>
              <x14:cfvo type="autoMax"/>
              <x14:negativeFillColor rgb="FFFF0000"/>
              <x14:axisColor rgb="FF000000"/>
            </x14:dataBar>
          </x14:cfRule>
          <xm:sqref>D64:D72</xm:sqref>
        </x14:conditionalFormatting>
        <x14:conditionalFormatting xmlns:xm="http://schemas.microsoft.com/office/excel/2006/main">
          <x14:cfRule type="dataBar" id="{1401AF53-C9EF-48C7-B8B4-BCF4E99FF47A}">
            <x14:dataBar minLength="0" maxLength="100">
              <x14:cfvo type="autoMin"/>
              <x14:cfvo type="autoMax"/>
              <x14:negativeFillColor rgb="FFFF0000"/>
              <x14:axisColor rgb="FF000000"/>
            </x14:dataBar>
          </x14:cfRule>
          <xm:sqref>E64:E72</xm:sqref>
        </x14:conditionalFormatting>
        <x14:conditionalFormatting xmlns:xm="http://schemas.microsoft.com/office/excel/2006/main">
          <x14:cfRule type="dataBar" id="{D24ACEFC-4C65-4893-A918-D01512C87F4C}">
            <x14:dataBar minLength="0" maxLength="100">
              <x14:cfvo type="autoMin"/>
              <x14:cfvo type="autoMax"/>
              <x14:negativeFillColor rgb="FFFF0000"/>
              <x14:axisColor rgb="FF000000"/>
            </x14:dataBar>
          </x14:cfRule>
          <xm:sqref>F64:F72</xm:sqref>
        </x14:conditionalFormatting>
        <x14:conditionalFormatting xmlns:xm="http://schemas.microsoft.com/office/excel/2006/main">
          <x14:cfRule type="dataBar" id="{A8CC3CF6-6C72-4B61-A866-C7471ED0619A}">
            <x14:dataBar minLength="0" maxLength="100">
              <x14:cfvo type="autoMin"/>
              <x14:cfvo type="autoMax"/>
              <x14:negativeFillColor rgb="FFFF0000"/>
              <x14:axisColor rgb="FF000000"/>
            </x14:dataBar>
          </x14:cfRule>
          <xm:sqref>G64:G72</xm:sqref>
        </x14:conditionalFormatting>
        <x14:conditionalFormatting xmlns:xm="http://schemas.microsoft.com/office/excel/2006/main">
          <x14:cfRule type="dataBar" id="{7F5D3B33-BD8D-4EA7-8F14-968C3DD0182D}">
            <x14:dataBar minLength="0" maxLength="100">
              <x14:cfvo type="autoMin"/>
              <x14:cfvo type="autoMax"/>
              <x14:negativeFillColor rgb="FFFF0000"/>
              <x14:axisColor rgb="FF000000"/>
            </x14:dataBar>
          </x14:cfRule>
          <xm:sqref>H64:H72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FF82-6726-4FF9-9E4D-A9F885D208DD}">
  <sheetPr codeName="EF">
    <tabColor rgb="FF92D050"/>
    <pageSetUpPr fitToPage="1"/>
  </sheetPr>
  <dimension ref="A1:Q114"/>
  <sheetViews>
    <sheetView showGridLines="0" zoomScale="70" zoomScaleNormal="70" workbookViewId="0">
      <pane ySplit="7" topLeftCell="A8" activePane="bottomLeft" state="frozen"/>
      <selection activeCell="C25" sqref="C25:G25"/>
      <selection pane="bottomLeft" activeCell="F112" sqref="F112"/>
    </sheetView>
  </sheetViews>
  <sheetFormatPr baseColWidth="10" defaultColWidth="8.85546875" defaultRowHeight="15" x14ac:dyDescent="0.25"/>
  <cols>
    <col min="1" max="2" width="2.42578125" style="188" customWidth="1"/>
    <col min="3" max="3" width="59.42578125" style="188" customWidth="1"/>
    <col min="4" max="4" width="17.5703125" style="188" customWidth="1"/>
    <col min="5" max="5" width="30.5703125" style="191" customWidth="1"/>
    <col min="6" max="6" width="28.5703125" style="188" customWidth="1"/>
    <col min="7" max="7" width="33.5703125" style="188" customWidth="1"/>
    <col min="8" max="8" width="36.42578125" style="188" customWidth="1"/>
    <col min="9" max="9" width="51.42578125" style="188" customWidth="1"/>
    <col min="10" max="10" width="56" style="188" customWidth="1"/>
    <col min="11" max="11" width="59" style="188" customWidth="1"/>
    <col min="12" max="12" width="4.140625" style="188" customWidth="1"/>
    <col min="13" max="13" width="8.85546875" style="188"/>
    <col min="14" max="14" width="4.5703125" style="188" customWidth="1"/>
    <col min="15" max="15" width="4.42578125" style="188" customWidth="1"/>
    <col min="16" max="16" width="26.85546875" style="188" customWidth="1"/>
    <col min="17" max="17" width="32.140625" style="188" customWidth="1"/>
    <col min="18" max="18" width="6" style="188" customWidth="1"/>
    <col min="19" max="19" width="22.85546875" style="188" customWidth="1"/>
    <col min="20" max="20" width="53.85546875" style="188" customWidth="1"/>
    <col min="21" max="24" width="47.85546875" style="188" customWidth="1"/>
    <col min="25" max="16384" width="8.85546875" style="188"/>
  </cols>
  <sheetData>
    <row r="1" spans="1:17" x14ac:dyDescent="0.25">
      <c r="J1" s="192"/>
      <c r="K1" s="192"/>
      <c r="L1" s="192"/>
      <c r="M1" s="192"/>
      <c r="N1" s="192"/>
      <c r="O1" s="192"/>
    </row>
    <row r="2" spans="1:17" x14ac:dyDescent="0.25">
      <c r="J2" s="192"/>
      <c r="K2" s="192"/>
      <c r="L2" s="192"/>
      <c r="M2" s="192"/>
      <c r="N2" s="192"/>
      <c r="O2" s="192"/>
      <c r="P2" s="192"/>
      <c r="Q2" s="192"/>
    </row>
    <row r="3" spans="1:17" x14ac:dyDescent="0.25">
      <c r="J3" s="192"/>
      <c r="K3" s="192"/>
      <c r="L3" s="192"/>
      <c r="M3" s="192"/>
      <c r="N3" s="192"/>
      <c r="O3" s="192"/>
      <c r="P3" s="192"/>
      <c r="Q3" s="192"/>
    </row>
    <row r="4" spans="1:17" x14ac:dyDescent="0.25">
      <c r="H4" s="192"/>
      <c r="J4" s="192"/>
      <c r="K4" s="192"/>
      <c r="L4" s="192"/>
      <c r="M4" s="192"/>
      <c r="N4" s="192"/>
      <c r="O4" s="192"/>
      <c r="P4" s="192"/>
      <c r="Q4" s="192"/>
    </row>
    <row r="5" spans="1:17" x14ac:dyDescent="0.25">
      <c r="J5" s="192"/>
      <c r="K5" s="192"/>
      <c r="L5" s="192"/>
      <c r="M5" s="192"/>
      <c r="N5" s="192"/>
      <c r="O5" s="192"/>
      <c r="P5" s="192"/>
      <c r="Q5" s="192"/>
    </row>
    <row r="6" spans="1:17" x14ac:dyDescent="0.25">
      <c r="J6" s="192"/>
      <c r="K6" s="192"/>
      <c r="L6" s="192"/>
      <c r="M6" s="192"/>
      <c r="N6" s="192"/>
      <c r="O6" s="192"/>
      <c r="P6" s="192"/>
      <c r="Q6" s="192"/>
    </row>
    <row r="7" spans="1:17" x14ac:dyDescent="0.25">
      <c r="J7" s="192"/>
      <c r="K7" s="192"/>
      <c r="L7" s="192"/>
      <c r="M7" s="192"/>
      <c r="N7" s="192"/>
      <c r="O7" s="192"/>
      <c r="P7" s="192"/>
      <c r="Q7" s="192"/>
    </row>
    <row r="8" spans="1:17" s="193" customFormat="1" ht="6" customHeight="1" x14ac:dyDescent="0.25">
      <c r="J8" s="285"/>
      <c r="K8" s="285"/>
      <c r="L8" s="285"/>
      <c r="M8" s="285"/>
      <c r="N8" s="285"/>
      <c r="O8" s="285"/>
      <c r="P8" s="285"/>
      <c r="Q8" s="285"/>
    </row>
    <row r="9" spans="1:17" ht="18.75" x14ac:dyDescent="0.3">
      <c r="A9" s="194"/>
      <c r="B9" s="195" t="s">
        <v>456</v>
      </c>
      <c r="J9" s="192"/>
      <c r="K9" s="286"/>
      <c r="L9" s="196" t="s">
        <v>23</v>
      </c>
      <c r="M9" s="197"/>
      <c r="N9" s="197"/>
      <c r="O9" s="197"/>
      <c r="P9" s="197"/>
      <c r="Q9" s="192"/>
    </row>
    <row r="10" spans="1:17" x14ac:dyDescent="0.25">
      <c r="A10" s="194"/>
      <c r="B10" s="191"/>
      <c r="D10" s="192"/>
      <c r="J10" s="192"/>
      <c r="K10" s="286"/>
      <c r="L10" s="196" t="s">
        <v>33</v>
      </c>
      <c r="M10" s="197"/>
      <c r="N10" s="197"/>
      <c r="O10" s="197"/>
      <c r="P10" s="197"/>
      <c r="Q10" s="192"/>
    </row>
    <row r="11" spans="1:17" ht="18" x14ac:dyDescent="0.35">
      <c r="A11" s="194"/>
      <c r="C11" s="198" t="s">
        <v>109</v>
      </c>
      <c r="D11" s="199" t="s">
        <v>81</v>
      </c>
      <c r="E11" s="200" t="s">
        <v>442</v>
      </c>
      <c r="F11" s="200" t="s">
        <v>443</v>
      </c>
      <c r="G11" s="199" t="s">
        <v>444</v>
      </c>
      <c r="H11" s="201" t="s">
        <v>445</v>
      </c>
      <c r="I11" s="201" t="s">
        <v>34</v>
      </c>
      <c r="J11" s="192"/>
      <c r="K11" s="197" t="s">
        <v>108</v>
      </c>
      <c r="L11" s="197"/>
      <c r="M11" s="197"/>
      <c r="N11" s="197"/>
      <c r="O11" s="197"/>
      <c r="P11" s="286"/>
      <c r="Q11" s="192"/>
    </row>
    <row r="12" spans="1:17" ht="30" x14ac:dyDescent="0.25">
      <c r="A12" s="194"/>
      <c r="B12" s="191"/>
      <c r="C12" s="202" t="s">
        <v>300</v>
      </c>
      <c r="D12" s="282">
        <v>194.89877682154085</v>
      </c>
      <c r="E12" s="282">
        <v>8.0060488575999429</v>
      </c>
      <c r="F12" s="203">
        <v>1.3979275316686279E-2</v>
      </c>
      <c r="G12" s="203">
        <v>2.3279030365703404E-10</v>
      </c>
      <c r="H12" s="203">
        <v>1.3178356449124198E-2</v>
      </c>
      <c r="I12" s="204" t="s">
        <v>476</v>
      </c>
      <c r="J12" s="192"/>
      <c r="K12" s="197" t="s">
        <v>107</v>
      </c>
      <c r="L12" s="197"/>
      <c r="M12" s="197"/>
      <c r="N12" s="197"/>
      <c r="O12" s="197"/>
      <c r="P12" s="286"/>
      <c r="Q12" s="192"/>
    </row>
    <row r="13" spans="1:17" ht="27.6" customHeight="1" x14ac:dyDescent="0.25">
      <c r="A13" s="194"/>
      <c r="B13" s="191"/>
      <c r="C13" s="202" t="s">
        <v>195</v>
      </c>
      <c r="D13" s="282">
        <v>2764.5931917026301</v>
      </c>
      <c r="E13" s="282">
        <v>123.15831389101771</v>
      </c>
      <c r="F13" s="203">
        <v>0.15032009844209795</v>
      </c>
      <c r="G13" s="203">
        <v>4.6181053827506075E-9</v>
      </c>
      <c r="H13" s="203">
        <v>0.1137847647572451</v>
      </c>
      <c r="I13" s="204" t="s">
        <v>476</v>
      </c>
      <c r="J13" s="275"/>
      <c r="K13" s="196" t="s">
        <v>215</v>
      </c>
      <c r="L13" s="197"/>
      <c r="M13" s="197"/>
      <c r="N13" s="197"/>
      <c r="O13" s="197"/>
      <c r="P13" s="286"/>
      <c r="Q13" s="192"/>
    </row>
    <row r="14" spans="1:17" ht="30" x14ac:dyDescent="0.25">
      <c r="A14" s="194"/>
      <c r="B14" s="191"/>
      <c r="C14" s="202" t="s">
        <v>196</v>
      </c>
      <c r="D14" s="282">
        <v>60.187612930573444</v>
      </c>
      <c r="E14" s="282">
        <v>3.0421337595000537</v>
      </c>
      <c r="F14" s="203">
        <v>1.2305659557453063E-2</v>
      </c>
      <c r="G14" s="203">
        <v>7.1534267883215772E-8</v>
      </c>
      <c r="H14" s="203">
        <v>6.7540583808087824E-3</v>
      </c>
      <c r="I14" s="204" t="s">
        <v>381</v>
      </c>
      <c r="J14" s="192"/>
      <c r="K14" s="196" t="s">
        <v>73</v>
      </c>
      <c r="L14" s="197"/>
      <c r="M14" s="197"/>
      <c r="N14" s="197"/>
      <c r="O14" s="197"/>
      <c r="P14" s="286"/>
      <c r="Q14" s="192"/>
    </row>
    <row r="15" spans="1:17" ht="30" x14ac:dyDescent="0.25">
      <c r="A15" s="194"/>
      <c r="B15" s="191"/>
      <c r="C15" s="202" t="s">
        <v>197</v>
      </c>
      <c r="D15" s="282">
        <v>18977.125730535838</v>
      </c>
      <c r="E15" s="282">
        <v>1250.2609472312449</v>
      </c>
      <c r="F15" s="203">
        <v>1.0871095886272051</v>
      </c>
      <c r="G15" s="203">
        <v>4.6204207056392831E-8</v>
      </c>
      <c r="H15" s="203">
        <v>0.81428719067432431</v>
      </c>
      <c r="I15" s="204" t="s">
        <v>477</v>
      </c>
      <c r="J15" s="192"/>
      <c r="K15" s="205"/>
      <c r="L15" s="205" t="s">
        <v>201</v>
      </c>
      <c r="M15" s="197"/>
      <c r="N15" s="197"/>
      <c r="O15" s="197"/>
      <c r="P15" s="286"/>
      <c r="Q15" s="192"/>
    </row>
    <row r="16" spans="1:17" ht="30" x14ac:dyDescent="0.25">
      <c r="A16" s="194"/>
      <c r="B16" s="191"/>
      <c r="C16" s="202" t="s">
        <v>198</v>
      </c>
      <c r="D16" s="282">
        <v>12404.679328140748</v>
      </c>
      <c r="E16" s="282">
        <v>845.01479893494297</v>
      </c>
      <c r="F16" s="203">
        <v>0.78084200575337004</v>
      </c>
      <c r="G16" s="203">
        <v>3.6052147260685998E-8</v>
      </c>
      <c r="H16" s="203">
        <v>0.55251930532214433</v>
      </c>
      <c r="I16" s="204" t="s">
        <v>477</v>
      </c>
      <c r="J16" s="192"/>
      <c r="K16" s="205"/>
      <c r="L16" s="205" t="s">
        <v>202</v>
      </c>
      <c r="M16" s="197"/>
      <c r="N16" s="197"/>
      <c r="O16" s="197"/>
      <c r="P16" s="286"/>
      <c r="Q16" s="192"/>
    </row>
    <row r="17" spans="1:17" ht="26.45" customHeight="1" x14ac:dyDescent="0.25">
      <c r="A17" s="194"/>
      <c r="B17" s="191"/>
      <c r="C17" s="206"/>
      <c r="D17" s="207"/>
      <c r="J17" s="192"/>
      <c r="K17" s="286"/>
      <c r="L17" s="205" t="s">
        <v>203</v>
      </c>
      <c r="M17" s="197"/>
      <c r="N17" s="197"/>
      <c r="O17" s="197"/>
      <c r="P17" s="197"/>
      <c r="Q17" s="192"/>
    </row>
    <row r="18" spans="1:17" ht="26.45" customHeight="1" x14ac:dyDescent="0.35">
      <c r="A18" s="194"/>
      <c r="B18" s="191"/>
      <c r="C18" s="198" t="s">
        <v>94</v>
      </c>
      <c r="D18" s="199" t="s">
        <v>81</v>
      </c>
      <c r="E18" s="200" t="s">
        <v>442</v>
      </c>
      <c r="F18" s="200" t="s">
        <v>443</v>
      </c>
      <c r="G18" s="199" t="s">
        <v>444</v>
      </c>
      <c r="H18" s="201" t="s">
        <v>445</v>
      </c>
      <c r="I18" s="209" t="s">
        <v>34</v>
      </c>
      <c r="J18" s="275"/>
      <c r="K18" s="210"/>
      <c r="L18" s="210" t="s">
        <v>194</v>
      </c>
      <c r="M18" s="197"/>
      <c r="N18" s="197"/>
      <c r="O18" s="197"/>
      <c r="P18" s="286"/>
      <c r="Q18" s="192"/>
    </row>
    <row r="19" spans="1:17" ht="30" x14ac:dyDescent="0.25">
      <c r="A19" s="194"/>
      <c r="B19" s="191"/>
      <c r="C19" s="211" t="s">
        <v>110</v>
      </c>
      <c r="D19" s="284">
        <f>D12*Konzentration_NaCl_konz_Fremdsole+(1-Konzentration_NaCl_konz_Fremdsole)*EF_KEA_Wasser*1000</f>
        <v>53.367210224667652</v>
      </c>
      <c r="E19" s="284">
        <f>E12*Konzentration_NaCl_konz_Fremdsole+(1-Konzentration_NaCl_konz_Fremdsole)*EF_GWP_Wasser*1000</f>
        <v>2.5477727029759856</v>
      </c>
      <c r="F19" s="281">
        <f>F12*Konzentration_NaCl_konz_Fremdsole+(1-Konzentration_NaCl_konz_Fremdsole)*EF_AP_Wasser*1000</f>
        <v>5.0952383823384328E-3</v>
      </c>
      <c r="G19" s="281">
        <f>G12*Konzentration_NaCl_konz_Fremdsole+(1-Konzentration_NaCl_konz_Fremdsole)*EF_ODP_Wasser*1000</f>
        <v>7.2285502789508288E-9</v>
      </c>
      <c r="H19" s="281">
        <f>H12*Konzentration_NaCl_konz_Fremdsole+(1-Konzentration_NaCl_konz_Fremdsole)*EF_POCP_Wasser*1000</f>
        <v>4.3982442767722917E-3</v>
      </c>
      <c r="I19" s="212" t="s">
        <v>480</v>
      </c>
      <c r="J19" s="192"/>
      <c r="K19" s="205"/>
      <c r="L19" s="205" t="s">
        <v>195</v>
      </c>
      <c r="M19" s="197"/>
      <c r="N19" s="197"/>
      <c r="O19" s="197"/>
      <c r="P19" s="286"/>
      <c r="Q19" s="192"/>
    </row>
    <row r="20" spans="1:17" ht="30" x14ac:dyDescent="0.25">
      <c r="A20" s="194"/>
      <c r="B20" s="191"/>
      <c r="C20" s="211" t="s">
        <v>111</v>
      </c>
      <c r="D20" s="283">
        <v>53.046392788391081</v>
      </c>
      <c r="E20" s="283">
        <v>2.5603651299317902</v>
      </c>
      <c r="F20" s="214">
        <v>1.0352664356321277E-2</v>
      </c>
      <c r="G20" s="214">
        <v>7.0774252434213954E-8</v>
      </c>
      <c r="H20" s="214">
        <v>4.4550805784243312E-3</v>
      </c>
      <c r="I20" s="212" t="s">
        <v>478</v>
      </c>
      <c r="J20" s="192"/>
      <c r="K20" s="210"/>
      <c r="L20" s="210" t="s">
        <v>196</v>
      </c>
      <c r="M20" s="197"/>
      <c r="N20" s="197"/>
      <c r="O20" s="197"/>
      <c r="P20" s="286"/>
      <c r="Q20" s="192"/>
    </row>
    <row r="21" spans="1:17" ht="30" x14ac:dyDescent="0.25">
      <c r="A21" s="194"/>
      <c r="B21" s="191"/>
      <c r="C21" s="211" t="s">
        <v>115</v>
      </c>
      <c r="D21" s="284">
        <f>AVERAGE(D19:D20)</f>
        <v>53.206801506529366</v>
      </c>
      <c r="E21" s="284">
        <f>AVERAGE(E19:E20)</f>
        <v>2.5540689164538879</v>
      </c>
      <c r="F21" s="281">
        <f>AVERAGE(F19:F20)</f>
        <v>7.7239513693298546E-3</v>
      </c>
      <c r="G21" s="281">
        <f>AVERAGE(G19:G20)</f>
        <v>3.9001401356582393E-8</v>
      </c>
      <c r="H21" s="281">
        <f>AVERAGE(H19:H20)</f>
        <v>4.4266624275983114E-3</v>
      </c>
      <c r="I21" s="212" t="s">
        <v>116</v>
      </c>
      <c r="J21" s="275"/>
      <c r="K21" s="205"/>
      <c r="L21" s="205" t="s">
        <v>197</v>
      </c>
      <c r="M21" s="197"/>
      <c r="N21" s="197"/>
      <c r="O21" s="197"/>
      <c r="P21" s="286"/>
      <c r="Q21" s="192"/>
    </row>
    <row r="22" spans="1:17" ht="31.5" x14ac:dyDescent="0.35">
      <c r="A22" s="194"/>
      <c r="B22" s="191"/>
      <c r="C22" s="211" t="s">
        <v>112</v>
      </c>
      <c r="D22" s="282">
        <v>3391.4514914159718</v>
      </c>
      <c r="E22" s="282">
        <v>236.37741796506793</v>
      </c>
      <c r="F22" s="203">
        <v>0.27694222937679275</v>
      </c>
      <c r="G22" s="203">
        <v>1.4965605919577471E-8</v>
      </c>
      <c r="H22" s="203">
        <v>0.16914658911263927</v>
      </c>
      <c r="I22" s="212" t="s">
        <v>477</v>
      </c>
      <c r="J22" s="275"/>
      <c r="K22" s="210"/>
      <c r="L22" s="210" t="s">
        <v>198</v>
      </c>
      <c r="M22" s="197"/>
      <c r="N22" s="197"/>
      <c r="O22" s="197"/>
      <c r="P22" s="286"/>
      <c r="Q22" s="192"/>
    </row>
    <row r="23" spans="1:17" ht="46.5" x14ac:dyDescent="0.35">
      <c r="A23" s="194"/>
      <c r="B23" s="191"/>
      <c r="C23" s="213" t="s">
        <v>113</v>
      </c>
      <c r="D23" s="283">
        <v>53.046392788391081</v>
      </c>
      <c r="E23" s="283">
        <v>2.5603651299317853</v>
      </c>
      <c r="F23" s="214">
        <v>1.0352664356321277E-2</v>
      </c>
      <c r="G23" s="214">
        <v>7.0774252434213954E-8</v>
      </c>
      <c r="H23" s="214">
        <v>4.4550805784243312E-3</v>
      </c>
      <c r="I23" s="215" t="s">
        <v>479</v>
      </c>
      <c r="J23" s="275"/>
      <c r="K23" s="286"/>
      <c r="L23" s="286"/>
      <c r="M23" s="286"/>
      <c r="N23" s="286"/>
      <c r="O23" s="286"/>
      <c r="P23" s="286"/>
    </row>
    <row r="24" spans="1:17" x14ac:dyDescent="0.25">
      <c r="A24" s="194"/>
      <c r="B24" s="191"/>
      <c r="D24" s="216"/>
      <c r="E24" s="216"/>
      <c r="F24" s="216"/>
      <c r="G24" s="216"/>
      <c r="H24" s="216"/>
      <c r="I24" s="216"/>
      <c r="J24" s="192"/>
      <c r="K24" s="192"/>
      <c r="L24" s="275"/>
      <c r="M24" s="192"/>
      <c r="N24" s="192"/>
      <c r="O24" s="192"/>
    </row>
    <row r="25" spans="1:17" x14ac:dyDescent="0.25">
      <c r="A25" s="194"/>
      <c r="B25" s="191"/>
      <c r="C25" s="188" t="s">
        <v>457</v>
      </c>
      <c r="D25" s="217"/>
      <c r="E25" s="216"/>
      <c r="G25" s="216"/>
      <c r="H25" s="216"/>
      <c r="I25" s="216"/>
      <c r="J25" s="192"/>
      <c r="K25" s="192"/>
      <c r="L25" s="275"/>
      <c r="M25" s="192"/>
      <c r="N25" s="192"/>
      <c r="O25" s="192"/>
    </row>
    <row r="26" spans="1:17" x14ac:dyDescent="0.25">
      <c r="A26" s="194"/>
      <c r="C26" s="218" t="s">
        <v>114</v>
      </c>
      <c r="D26" s="219">
        <v>0.26</v>
      </c>
      <c r="J26" s="192"/>
      <c r="K26" s="192"/>
      <c r="L26" s="192"/>
      <c r="M26" s="192"/>
      <c r="N26" s="192"/>
      <c r="O26" s="192"/>
    </row>
    <row r="27" spans="1:17" ht="18" x14ac:dyDescent="0.35">
      <c r="A27" s="194"/>
      <c r="C27" s="220" t="s">
        <v>112</v>
      </c>
      <c r="D27" s="219">
        <v>0.33</v>
      </c>
      <c r="J27" s="192"/>
      <c r="K27" s="192"/>
      <c r="L27" s="192"/>
      <c r="M27" s="192"/>
      <c r="N27" s="192"/>
      <c r="O27" s="192"/>
    </row>
    <row r="28" spans="1:17" ht="18" x14ac:dyDescent="0.35">
      <c r="A28" s="194"/>
      <c r="C28" s="221" t="s">
        <v>113</v>
      </c>
      <c r="D28" s="219">
        <v>0.33</v>
      </c>
      <c r="J28" s="192"/>
      <c r="K28" s="192"/>
      <c r="L28" s="192"/>
      <c r="M28" s="192"/>
      <c r="N28" s="192"/>
      <c r="O28" s="192"/>
    </row>
    <row r="29" spans="1:17" x14ac:dyDescent="0.25">
      <c r="A29" s="194"/>
      <c r="J29" s="192"/>
      <c r="K29" s="192"/>
      <c r="L29" s="192"/>
      <c r="M29" s="192"/>
      <c r="N29" s="192"/>
      <c r="O29" s="192"/>
    </row>
    <row r="30" spans="1:17" x14ac:dyDescent="0.25">
      <c r="A30" s="194"/>
      <c r="D30" s="216"/>
      <c r="E30" s="216"/>
      <c r="F30" s="216"/>
      <c r="G30" s="216"/>
      <c r="H30" s="216"/>
      <c r="I30" s="216"/>
      <c r="J30" s="192"/>
      <c r="K30" s="192"/>
      <c r="L30" s="192"/>
      <c r="M30" s="192"/>
      <c r="N30" s="192"/>
      <c r="O30" s="192"/>
    </row>
    <row r="31" spans="1:17" s="193" customFormat="1" ht="6" customHeight="1" x14ac:dyDescent="0.25"/>
    <row r="32" spans="1:17" ht="18.75" x14ac:dyDescent="0.3">
      <c r="A32" s="194"/>
      <c r="B32" s="195" t="s">
        <v>458</v>
      </c>
    </row>
    <row r="33" spans="1:9" ht="18.75" x14ac:dyDescent="0.3">
      <c r="A33" s="194"/>
      <c r="B33" s="195"/>
      <c r="C33" s="192"/>
    </row>
    <row r="34" spans="1:9" ht="19.5" x14ac:dyDescent="0.35">
      <c r="A34" s="194"/>
      <c r="B34" s="195"/>
      <c r="C34" s="198" t="s">
        <v>57</v>
      </c>
      <c r="D34" s="199" t="s">
        <v>58</v>
      </c>
      <c r="E34" s="200" t="s">
        <v>446</v>
      </c>
      <c r="F34" s="200" t="s">
        <v>447</v>
      </c>
      <c r="G34" s="199" t="s">
        <v>448</v>
      </c>
      <c r="H34" s="208" t="s">
        <v>449</v>
      </c>
      <c r="I34" s="209" t="s">
        <v>34</v>
      </c>
    </row>
    <row r="35" spans="1:9" ht="18.75" x14ac:dyDescent="0.3">
      <c r="A35" s="194"/>
      <c r="B35" s="195"/>
      <c r="C35" s="268" t="s">
        <v>177</v>
      </c>
      <c r="D35" s="223">
        <v>0.46539224313664623</v>
      </c>
      <c r="E35" s="224">
        <v>2.6845000000000001E-2</v>
      </c>
      <c r="F35" s="225">
        <v>2.7999999999999998E-4</v>
      </c>
      <c r="G35" s="225">
        <v>2.46732605E-9</v>
      </c>
      <c r="H35" s="226">
        <v>2.5022390000000003E-4</v>
      </c>
      <c r="I35" s="272" t="s">
        <v>481</v>
      </c>
    </row>
    <row r="36" spans="1:9" ht="18.75" x14ac:dyDescent="0.3">
      <c r="A36" s="194"/>
      <c r="B36" s="195"/>
      <c r="C36" s="227" t="s">
        <v>318</v>
      </c>
      <c r="D36" s="223">
        <v>0.37378826824496636</v>
      </c>
      <c r="E36" s="224">
        <v>2.7439999999999999E-2</v>
      </c>
      <c r="F36" s="225">
        <v>3.6000000000000002E-4</v>
      </c>
      <c r="G36" s="225">
        <v>3.86121E-11</v>
      </c>
      <c r="H36" s="226">
        <v>4.6000000000000001E-4</v>
      </c>
      <c r="I36" s="272" t="s">
        <v>325</v>
      </c>
    </row>
    <row r="37" spans="1:9" ht="18.75" x14ac:dyDescent="0.3">
      <c r="A37" s="194"/>
      <c r="B37" s="195"/>
      <c r="C37" s="227" t="s">
        <v>319</v>
      </c>
      <c r="D37" s="223">
        <v>3.2280806038424988E-2</v>
      </c>
      <c r="E37" s="224">
        <v>2.4299999999999999E-3</v>
      </c>
      <c r="F37" s="225">
        <v>9.9144300000000006E-5</v>
      </c>
      <c r="G37" s="225">
        <v>3.0713899999999999E-12</v>
      </c>
      <c r="H37" s="226">
        <v>6.3658399999999993E-5</v>
      </c>
      <c r="I37" s="272" t="s">
        <v>321</v>
      </c>
    </row>
    <row r="38" spans="1:9" ht="18.75" x14ac:dyDescent="0.3">
      <c r="A38" s="194"/>
      <c r="B38" s="195"/>
      <c r="C38" s="222" t="s">
        <v>320</v>
      </c>
      <c r="D38" s="223">
        <v>0.17384062963139574</v>
      </c>
      <c r="E38" s="228">
        <v>1.311E-2</v>
      </c>
      <c r="F38" s="225">
        <v>5.2999999999999998E-4</v>
      </c>
      <c r="G38" s="225">
        <v>1.6540200000000001E-11</v>
      </c>
      <c r="H38" s="226">
        <v>3.4000000000000002E-4</v>
      </c>
      <c r="I38" s="272" t="s">
        <v>317</v>
      </c>
    </row>
    <row r="39" spans="1:9" ht="30" x14ac:dyDescent="0.25">
      <c r="A39" s="194"/>
      <c r="C39" s="273" t="s">
        <v>356</v>
      </c>
      <c r="D39" s="223">
        <v>2.5412479648987545</v>
      </c>
      <c r="E39" s="228">
        <v>0.16996863368955983</v>
      </c>
      <c r="F39" s="226">
        <v>1.1781793059020484E-3</v>
      </c>
      <c r="G39" s="226">
        <v>3.2977683847943478E-11</v>
      </c>
      <c r="H39" s="226">
        <v>1.4603687441529345E-3</v>
      </c>
      <c r="I39" s="280" t="s">
        <v>355</v>
      </c>
    </row>
    <row r="40" spans="1:9" ht="30" x14ac:dyDescent="0.25">
      <c r="A40" s="194"/>
      <c r="B40" s="206"/>
      <c r="C40" s="269" t="s">
        <v>357</v>
      </c>
      <c r="D40" s="223">
        <v>2.3696849886215445</v>
      </c>
      <c r="E40" s="228">
        <v>0.1589010717075359</v>
      </c>
      <c r="F40" s="226">
        <v>9.0412484848065224E-4</v>
      </c>
      <c r="G40" s="226">
        <v>3.0751317247820114E-11</v>
      </c>
      <c r="H40" s="226">
        <v>1.0642678319541013E-3</v>
      </c>
      <c r="I40" s="280" t="s">
        <v>355</v>
      </c>
    </row>
    <row r="41" spans="1:9" ht="30" x14ac:dyDescent="0.25">
      <c r="A41" s="194"/>
      <c r="B41" s="206"/>
      <c r="C41" s="273" t="s">
        <v>358</v>
      </c>
      <c r="D41" s="223">
        <v>2.201377226223737</v>
      </c>
      <c r="E41" s="228">
        <v>0.14893230375167033</v>
      </c>
      <c r="F41" s="226">
        <v>9.1033705852946642E-4</v>
      </c>
      <c r="G41" s="226">
        <v>2.8567193441652773E-11</v>
      </c>
      <c r="H41" s="226">
        <v>1.0882826776798366E-3</v>
      </c>
      <c r="I41" s="280" t="s">
        <v>355</v>
      </c>
    </row>
    <row r="42" spans="1:9" ht="30" x14ac:dyDescent="0.25">
      <c r="A42" s="194"/>
      <c r="B42" s="206"/>
      <c r="C42" s="269" t="s">
        <v>359</v>
      </c>
      <c r="D42" s="223">
        <v>1.9989391271683457</v>
      </c>
      <c r="E42" s="228">
        <v>0.13528163556960718</v>
      </c>
      <c r="F42" s="226">
        <v>2.8375330773789005E-4</v>
      </c>
      <c r="G42" s="226">
        <v>2.5940161478759164E-11</v>
      </c>
      <c r="H42" s="226">
        <v>2.3108382222258411E-4</v>
      </c>
      <c r="I42" s="280" t="s">
        <v>355</v>
      </c>
    </row>
    <row r="43" spans="1:9" ht="30" x14ac:dyDescent="0.25">
      <c r="A43" s="194"/>
      <c r="B43" s="206"/>
      <c r="C43" s="273" t="s">
        <v>360</v>
      </c>
      <c r="D43" s="223">
        <v>3.6701942053582544</v>
      </c>
      <c r="E43" s="228">
        <v>0.24547473868404265</v>
      </c>
      <c r="F43" s="226">
        <v>1.610662703030494E-3</v>
      </c>
      <c r="G43" s="226">
        <v>4.7627978787060547E-11</v>
      </c>
      <c r="H43" s="226">
        <v>1.9805149460882373E-3</v>
      </c>
      <c r="I43" s="280" t="s">
        <v>355</v>
      </c>
    </row>
    <row r="44" spans="1:9" ht="30" x14ac:dyDescent="0.25">
      <c r="A44" s="194"/>
      <c r="B44" s="206"/>
      <c r="C44" s="269" t="s">
        <v>361</v>
      </c>
      <c r="D44" s="223">
        <v>3.3312219399020258</v>
      </c>
      <c r="E44" s="228">
        <v>0.22336635619978382</v>
      </c>
      <c r="F44" s="226">
        <v>1.2328940586803807E-3</v>
      </c>
      <c r="G44" s="226">
        <v>4.3229147835559107E-11</v>
      </c>
      <c r="H44" s="226">
        <v>1.4384608300180744E-3</v>
      </c>
      <c r="I44" s="280" t="s">
        <v>355</v>
      </c>
    </row>
    <row r="45" spans="1:9" ht="30" x14ac:dyDescent="0.25">
      <c r="A45" s="194"/>
      <c r="B45" s="206"/>
      <c r="C45" s="273" t="s">
        <v>362</v>
      </c>
      <c r="D45" s="223">
        <v>3.0685490537003104</v>
      </c>
      <c r="E45" s="228">
        <v>0.20753288061980713</v>
      </c>
      <c r="F45" s="226">
        <v>1.1013758676639682E-3</v>
      </c>
      <c r="G45" s="226">
        <v>3.9820451196649208E-11</v>
      </c>
      <c r="H45" s="226">
        <v>1.279119978917768E-3</v>
      </c>
      <c r="I45" s="280" t="s">
        <v>355</v>
      </c>
    </row>
    <row r="46" spans="1:9" ht="30" x14ac:dyDescent="0.25">
      <c r="A46" s="194"/>
      <c r="C46" s="274" t="s">
        <v>363</v>
      </c>
      <c r="D46" s="229">
        <v>2.7944940820812638</v>
      </c>
      <c r="E46" s="230">
        <v>0.18904872469212192</v>
      </c>
      <c r="F46" s="231">
        <v>3.5892525498913165E-4</v>
      </c>
      <c r="G46" s="231">
        <v>3.6264049642828347E-11</v>
      </c>
      <c r="H46" s="231">
        <v>2.6937437205210035E-4</v>
      </c>
      <c r="I46" s="280" t="s">
        <v>355</v>
      </c>
    </row>
    <row r="47" spans="1:9" x14ac:dyDescent="0.25">
      <c r="A47" s="194"/>
    </row>
    <row r="48" spans="1:9" s="193" customFormat="1" ht="6" customHeight="1" x14ac:dyDescent="0.25"/>
    <row r="49" spans="1:10" ht="18.75" x14ac:dyDescent="0.3">
      <c r="A49" s="232"/>
      <c r="B49" s="195" t="s">
        <v>450</v>
      </c>
      <c r="C49" s="233"/>
    </row>
    <row r="50" spans="1:10" x14ac:dyDescent="0.25">
      <c r="A50" s="232"/>
      <c r="C50" s="188" t="s">
        <v>451</v>
      </c>
    </row>
    <row r="51" spans="1:10" x14ac:dyDescent="0.25">
      <c r="A51" s="232"/>
      <c r="C51" s="275"/>
      <c r="D51" s="263"/>
      <c r="E51" s="276"/>
    </row>
    <row r="52" spans="1:10" ht="34.5" customHeight="1" x14ac:dyDescent="0.35">
      <c r="A52" s="232"/>
      <c r="B52" s="234"/>
      <c r="C52" s="235" t="s">
        <v>459</v>
      </c>
      <c r="D52" s="235" t="s">
        <v>460</v>
      </c>
      <c r="E52" s="236" t="s">
        <v>101</v>
      </c>
      <c r="F52" s="237" t="s">
        <v>452</v>
      </c>
      <c r="G52" s="238" t="s">
        <v>453</v>
      </c>
      <c r="H52" s="236" t="s">
        <v>454</v>
      </c>
      <c r="I52" s="237" t="s">
        <v>455</v>
      </c>
      <c r="J52" s="236" t="s">
        <v>34</v>
      </c>
    </row>
    <row r="53" spans="1:10" x14ac:dyDescent="0.25">
      <c r="A53" s="232"/>
      <c r="C53" s="268" t="s">
        <v>367</v>
      </c>
      <c r="D53" s="239" t="s">
        <v>236</v>
      </c>
      <c r="E53" s="223">
        <v>44.889293715646318</v>
      </c>
      <c r="F53" s="223">
        <v>3.0023720729046315</v>
      </c>
      <c r="G53" s="226">
        <v>2.0811679002934468E-2</v>
      </c>
      <c r="H53" s="226">
        <v>5.8252675723088623E-10</v>
      </c>
      <c r="I53" s="226">
        <v>2.5796349822966764E-2</v>
      </c>
      <c r="J53" s="278" t="s">
        <v>371</v>
      </c>
    </row>
    <row r="54" spans="1:10" x14ac:dyDescent="0.25">
      <c r="A54" s="232"/>
      <c r="C54" s="8" t="s">
        <v>368</v>
      </c>
      <c r="D54" s="239" t="s">
        <v>236</v>
      </c>
      <c r="E54" s="223">
        <v>44.889293715646318</v>
      </c>
      <c r="F54" s="223">
        <v>3.0100865363374001</v>
      </c>
      <c r="G54" s="226">
        <v>1.7126970915518604E-2</v>
      </c>
      <c r="H54" s="226">
        <v>5.8252675723088613E-10</v>
      </c>
      <c r="I54" s="226">
        <v>2.0160583170378374E-2</v>
      </c>
      <c r="J54" s="278" t="s">
        <v>371</v>
      </c>
    </row>
    <row r="55" spans="1:10" x14ac:dyDescent="0.25">
      <c r="A55" s="232"/>
      <c r="C55" s="268" t="s">
        <v>369</v>
      </c>
      <c r="D55" s="239" t="s">
        <v>236</v>
      </c>
      <c r="E55" s="223">
        <v>44.889293715646311</v>
      </c>
      <c r="F55" s="223">
        <v>3.0369469835594209</v>
      </c>
      <c r="G55" s="226">
        <v>1.8563100914179023E-2</v>
      </c>
      <c r="H55" s="226">
        <v>5.8252675723088613E-10</v>
      </c>
      <c r="I55" s="226">
        <v>2.2191671732618868E-2</v>
      </c>
      <c r="J55" s="278" t="s">
        <v>371</v>
      </c>
    </row>
    <row r="56" spans="1:10" x14ac:dyDescent="0.25">
      <c r="A56" s="232"/>
      <c r="C56" s="8" t="s">
        <v>370</v>
      </c>
      <c r="D56" s="239" t="s">
        <v>236</v>
      </c>
      <c r="E56" s="223">
        <v>44.889293715646318</v>
      </c>
      <c r="F56" s="223">
        <v>3.0379599813124756</v>
      </c>
      <c r="G56" s="226">
        <v>6.3721227928916343E-3</v>
      </c>
      <c r="H56" s="226">
        <v>5.8252675723088623E-10</v>
      </c>
      <c r="I56" s="226">
        <v>5.1893474031789125E-3</v>
      </c>
      <c r="J56" s="278" t="s">
        <v>371</v>
      </c>
    </row>
    <row r="57" spans="1:10" x14ac:dyDescent="0.25">
      <c r="A57" s="232"/>
      <c r="C57" s="268" t="s">
        <v>388</v>
      </c>
      <c r="D57" s="239" t="s">
        <v>236</v>
      </c>
      <c r="E57" s="223">
        <v>44.889293715646311</v>
      </c>
      <c r="F57" s="228">
        <v>3.0023445703424065</v>
      </c>
      <c r="G57" s="226">
        <v>1.9699641792147397E-2</v>
      </c>
      <c r="H57" s="226">
        <v>5.8252675723088613E-10</v>
      </c>
      <c r="I57" s="226">
        <v>2.422321875866627E-2</v>
      </c>
      <c r="J57" s="278" t="s">
        <v>371</v>
      </c>
    </row>
    <row r="58" spans="1:10" x14ac:dyDescent="0.25">
      <c r="A58" s="232"/>
      <c r="C58" s="8" t="s">
        <v>385</v>
      </c>
      <c r="D58" s="239" t="s">
        <v>236</v>
      </c>
      <c r="E58" s="223">
        <v>44.889293715646318</v>
      </c>
      <c r="F58" s="228">
        <v>3.0099339373169083</v>
      </c>
      <c r="G58" s="226">
        <v>1.6613646439302271E-2</v>
      </c>
      <c r="H58" s="226">
        <v>5.8252675723088623E-10</v>
      </c>
      <c r="I58" s="226">
        <v>1.9383725210165025E-2</v>
      </c>
      <c r="J58" s="278" t="s">
        <v>371</v>
      </c>
    </row>
    <row r="59" spans="1:10" x14ac:dyDescent="0.25">
      <c r="A59" s="232"/>
      <c r="C59" s="268" t="s">
        <v>386</v>
      </c>
      <c r="D59" s="239" t="s">
        <v>236</v>
      </c>
      <c r="E59" s="223">
        <v>44.889293715646311</v>
      </c>
      <c r="F59" s="228">
        <v>3.0359639916991639</v>
      </c>
      <c r="G59" s="226">
        <v>1.6111844376505518E-2</v>
      </c>
      <c r="H59" s="226">
        <v>5.8252675723088613E-10</v>
      </c>
      <c r="I59" s="226">
        <v>1.8712033415907325E-2</v>
      </c>
      <c r="J59" s="278" t="s">
        <v>371</v>
      </c>
    </row>
    <row r="60" spans="1:10" x14ac:dyDescent="0.25">
      <c r="A60" s="232"/>
      <c r="C60" s="8" t="s">
        <v>387</v>
      </c>
      <c r="D60" s="239" t="s">
        <v>236</v>
      </c>
      <c r="E60" s="223">
        <v>44.889293715646311</v>
      </c>
      <c r="F60" s="228">
        <v>3.0367799966685487</v>
      </c>
      <c r="G60" s="226">
        <v>5.7655878738417906E-3</v>
      </c>
      <c r="H60" s="226">
        <v>5.8252675723088623E-10</v>
      </c>
      <c r="I60" s="226">
        <v>4.3270892517005104E-3</v>
      </c>
      <c r="J60" s="278" t="s">
        <v>371</v>
      </c>
    </row>
    <row r="61" spans="1:10" ht="30" x14ac:dyDescent="0.25">
      <c r="A61" s="232"/>
      <c r="C61" s="239" t="s">
        <v>397</v>
      </c>
      <c r="D61" s="239" t="s">
        <v>236</v>
      </c>
      <c r="E61" s="223">
        <v>44.889293715646318</v>
      </c>
      <c r="F61" s="228">
        <v>3.0023800937829384</v>
      </c>
      <c r="G61" s="226">
        <v>2.0722762159169773E-2</v>
      </c>
      <c r="H61" s="226">
        <v>5.8252675723088623E-10</v>
      </c>
      <c r="I61" s="226">
        <v>2.5702382222566277E-2</v>
      </c>
      <c r="J61" s="280" t="s">
        <v>355</v>
      </c>
    </row>
    <row r="62" spans="1:10" ht="30" x14ac:dyDescent="0.25">
      <c r="A62" s="232"/>
      <c r="C62" s="239" t="s">
        <v>398</v>
      </c>
      <c r="D62" s="239" t="s">
        <v>236</v>
      </c>
      <c r="E62" s="223">
        <v>44.889293715646311</v>
      </c>
      <c r="F62" s="228">
        <v>3.007903959773115</v>
      </c>
      <c r="G62" s="226">
        <v>1.6865125256503567E-2</v>
      </c>
      <c r="H62" s="226">
        <v>5.8252675723088613E-10</v>
      </c>
      <c r="I62" s="226">
        <v>1.9712156229211904E-2</v>
      </c>
      <c r="J62" s="280" t="s">
        <v>355</v>
      </c>
    </row>
    <row r="63" spans="1:10" ht="30" x14ac:dyDescent="0.25">
      <c r="A63" s="232"/>
      <c r="C63" s="239" t="s">
        <v>399</v>
      </c>
      <c r="D63" s="239" t="s">
        <v>236</v>
      </c>
      <c r="E63" s="223">
        <v>44.889293715646318</v>
      </c>
      <c r="F63" s="228">
        <v>3.0293347257188463</v>
      </c>
      <c r="G63" s="226">
        <v>1.7780791997673101E-2</v>
      </c>
      <c r="H63" s="226">
        <v>5.8252675723088623E-10</v>
      </c>
      <c r="I63" s="226">
        <v>2.0931681577760004E-2</v>
      </c>
      <c r="J63" s="280" t="s">
        <v>355</v>
      </c>
    </row>
    <row r="64" spans="1:10" ht="30" x14ac:dyDescent="0.25">
      <c r="A64" s="232"/>
      <c r="C64" s="239" t="s">
        <v>400</v>
      </c>
      <c r="D64" s="239" t="s">
        <v>236</v>
      </c>
      <c r="E64" s="223">
        <v>44.889293715646325</v>
      </c>
      <c r="F64" s="228">
        <v>3.0303256486469987</v>
      </c>
      <c r="G64" s="226">
        <v>5.3560129395304997E-3</v>
      </c>
      <c r="H64" s="226">
        <v>5.8252675723088623E-10</v>
      </c>
      <c r="I64" s="226">
        <v>3.778578359272249E-3</v>
      </c>
      <c r="J64" s="280" t="s">
        <v>355</v>
      </c>
    </row>
    <row r="65" spans="1:10" ht="30" x14ac:dyDescent="0.25">
      <c r="A65" s="232"/>
      <c r="B65" s="240"/>
      <c r="C65" s="241" t="s">
        <v>364</v>
      </c>
      <c r="D65" s="239" t="s">
        <v>236</v>
      </c>
      <c r="E65" s="229">
        <v>41.908139229999996</v>
      </c>
      <c r="F65" s="230">
        <v>1.40611124</v>
      </c>
      <c r="G65" s="231">
        <v>3.0214379549999996E-2</v>
      </c>
      <c r="H65" s="231" t="s">
        <v>225</v>
      </c>
      <c r="I65" s="231">
        <v>4.6413723E-3</v>
      </c>
      <c r="J65" s="279" t="s">
        <v>380</v>
      </c>
    </row>
    <row r="66" spans="1:10" ht="30" x14ac:dyDescent="0.25">
      <c r="A66" s="232"/>
      <c r="B66" s="240"/>
      <c r="C66" s="241" t="s">
        <v>365</v>
      </c>
      <c r="D66" s="239" t="s">
        <v>236</v>
      </c>
      <c r="E66" s="229">
        <f>E65</f>
        <v>41.908139229999996</v>
      </c>
      <c r="F66" s="229">
        <f>F65</f>
        <v>1.40611124</v>
      </c>
      <c r="G66" s="231">
        <f>G65</f>
        <v>3.0214379549999996E-2</v>
      </c>
      <c r="H66" s="229" t="str">
        <f>H65</f>
        <v>k.A.</v>
      </c>
      <c r="I66" s="231">
        <f>I65</f>
        <v>4.6413723E-3</v>
      </c>
      <c r="J66" s="279" t="s">
        <v>482</v>
      </c>
    </row>
    <row r="67" spans="1:10" ht="30" x14ac:dyDescent="0.25">
      <c r="A67" s="232"/>
      <c r="B67" s="240"/>
      <c r="C67" s="239" t="s">
        <v>233</v>
      </c>
      <c r="D67" s="239" t="s">
        <v>236</v>
      </c>
      <c r="E67" s="223">
        <v>44.889293715646318</v>
      </c>
      <c r="F67" s="228">
        <v>3.035848685919154</v>
      </c>
      <c r="G67" s="226">
        <v>1.3287335756776E-2</v>
      </c>
      <c r="H67" s="226">
        <v>5.8252675723088623E-10</v>
      </c>
      <c r="I67" s="226">
        <v>1.44562980216914E-2</v>
      </c>
      <c r="J67" s="279" t="s">
        <v>376</v>
      </c>
    </row>
    <row r="68" spans="1:10" ht="30" x14ac:dyDescent="0.25">
      <c r="A68" s="232"/>
      <c r="B68" s="240"/>
      <c r="C68" s="239" t="s">
        <v>234</v>
      </c>
      <c r="D68" s="239" t="s">
        <v>236</v>
      </c>
      <c r="E68" s="223">
        <v>42.037300627688083</v>
      </c>
      <c r="F68" s="228">
        <v>2.9010596234446977</v>
      </c>
      <c r="G68" s="226">
        <v>5.9640430751477201E-3</v>
      </c>
      <c r="H68" s="226">
        <v>7.4316848639534782E-10</v>
      </c>
      <c r="I68" s="226">
        <v>4.4313098841289797E-3</v>
      </c>
      <c r="J68" s="279" t="s">
        <v>377</v>
      </c>
    </row>
    <row r="69" spans="1:10" ht="30" x14ac:dyDescent="0.25">
      <c r="A69" s="232"/>
      <c r="B69" s="240"/>
      <c r="C69" s="241" t="s">
        <v>366</v>
      </c>
      <c r="D69" s="239" t="s">
        <v>12</v>
      </c>
      <c r="E69" s="229">
        <v>51.397210000000001</v>
      </c>
      <c r="F69" s="230">
        <v>3.5775600000000001</v>
      </c>
      <c r="G69" s="231">
        <v>5.7800000000000004E-3</v>
      </c>
      <c r="H69" s="231" t="s">
        <v>225</v>
      </c>
      <c r="I69" s="231">
        <v>6.5199999999999998E-3</v>
      </c>
      <c r="J69" s="279" t="s">
        <v>378</v>
      </c>
    </row>
    <row r="70" spans="1:10" ht="30" x14ac:dyDescent="0.25">
      <c r="A70" s="232"/>
      <c r="B70" s="240"/>
      <c r="C70" s="277" t="s">
        <v>372</v>
      </c>
      <c r="D70" s="239" t="s">
        <v>12</v>
      </c>
      <c r="E70" s="229">
        <v>53.812199999999997</v>
      </c>
      <c r="F70" s="230">
        <v>3.91073</v>
      </c>
      <c r="G70" s="231">
        <v>7.3730000000000002E-3</v>
      </c>
      <c r="H70" s="231">
        <v>7.5059999999999995E-13</v>
      </c>
      <c r="I70" s="231">
        <v>7.9749999999999995E-3</v>
      </c>
      <c r="J70" s="279" t="s">
        <v>379</v>
      </c>
    </row>
    <row r="71" spans="1:10" x14ac:dyDescent="0.25">
      <c r="A71" s="232"/>
    </row>
    <row r="72" spans="1:10" s="193" customFormat="1" ht="6" customHeight="1" x14ac:dyDescent="0.25"/>
    <row r="73" spans="1:10" ht="18.75" x14ac:dyDescent="0.3">
      <c r="A73" s="242"/>
      <c r="B73" s="195" t="s">
        <v>461</v>
      </c>
    </row>
    <row r="74" spans="1:10" ht="18.75" x14ac:dyDescent="0.3">
      <c r="A74" s="242"/>
      <c r="B74" s="195"/>
    </row>
    <row r="75" spans="1:10" ht="19.5" x14ac:dyDescent="0.35">
      <c r="A75" s="242"/>
      <c r="B75" s="195"/>
      <c r="C75" s="243" t="s">
        <v>35</v>
      </c>
      <c r="D75" s="199" t="s">
        <v>79</v>
      </c>
      <c r="E75" s="200" t="s">
        <v>462</v>
      </c>
      <c r="F75" s="200" t="s">
        <v>463</v>
      </c>
      <c r="G75" s="199" t="s">
        <v>464</v>
      </c>
      <c r="H75" s="208" t="s">
        <v>465</v>
      </c>
      <c r="I75" s="209" t="s">
        <v>34</v>
      </c>
    </row>
    <row r="76" spans="1:10" ht="18.75" x14ac:dyDescent="0.3">
      <c r="A76" s="242"/>
      <c r="B76" s="195"/>
      <c r="C76" s="222" t="s">
        <v>59</v>
      </c>
      <c r="D76" s="223">
        <v>11.964</v>
      </c>
      <c r="E76" s="228">
        <v>0.40229999999999999</v>
      </c>
      <c r="F76" s="244">
        <v>6.2109999999999997E-4</v>
      </c>
      <c r="G76" s="244">
        <v>1.4030000000000001E-11</v>
      </c>
      <c r="H76" s="244">
        <v>4.8339999999999999E-4</v>
      </c>
      <c r="I76" s="271" t="s">
        <v>336</v>
      </c>
    </row>
    <row r="77" spans="1:10" ht="18.75" x14ac:dyDescent="0.3">
      <c r="A77" s="242"/>
      <c r="B77" s="195"/>
    </row>
    <row r="78" spans="1:10" ht="19.5" x14ac:dyDescent="0.35">
      <c r="A78" s="242"/>
      <c r="B78" s="195"/>
      <c r="C78" s="245" t="s">
        <v>35</v>
      </c>
      <c r="D78" s="236" t="s">
        <v>95</v>
      </c>
      <c r="E78" s="237" t="s">
        <v>466</v>
      </c>
      <c r="F78" s="237" t="s">
        <v>467</v>
      </c>
      <c r="G78" s="236" t="s">
        <v>468</v>
      </c>
      <c r="H78" s="246" t="s">
        <v>469</v>
      </c>
      <c r="I78" s="209" t="s">
        <v>34</v>
      </c>
    </row>
    <row r="79" spans="1:10" ht="18.75" x14ac:dyDescent="0.3">
      <c r="A79" s="242"/>
      <c r="B79" s="195"/>
      <c r="C79" s="247" t="s">
        <v>97</v>
      </c>
      <c r="D79" s="248">
        <v>1.2244444444444444</v>
      </c>
      <c r="E79" s="230">
        <v>6.9694444444444448E-2</v>
      </c>
      <c r="F79" s="249">
        <v>8.3416666666666657E-5</v>
      </c>
      <c r="G79" s="249">
        <v>1.6844444444444441E-14</v>
      </c>
      <c r="H79" s="249">
        <v>7.8388888888888882E-5</v>
      </c>
      <c r="I79" s="270" t="s">
        <v>38</v>
      </c>
    </row>
    <row r="80" spans="1:10" ht="18.75" x14ac:dyDescent="0.3">
      <c r="A80" s="242"/>
      <c r="B80" s="195"/>
      <c r="C80" s="250"/>
      <c r="D80" s="250"/>
      <c r="E80" s="250"/>
      <c r="F80" s="250"/>
      <c r="G80" s="250"/>
      <c r="H80" s="250"/>
      <c r="I80" s="250"/>
      <c r="J80" s="250"/>
    </row>
    <row r="81" spans="1:9" x14ac:dyDescent="0.25">
      <c r="A81" s="242"/>
      <c r="C81" s="188" t="s">
        <v>306</v>
      </c>
    </row>
    <row r="82" spans="1:9" x14ac:dyDescent="0.25">
      <c r="A82" s="242"/>
      <c r="C82" s="192"/>
    </row>
    <row r="83" spans="1:9" ht="18" x14ac:dyDescent="0.35">
      <c r="A83" s="242"/>
      <c r="C83" s="236" t="s">
        <v>60</v>
      </c>
      <c r="D83" s="251" t="s">
        <v>79</v>
      </c>
      <c r="E83" s="384" t="s">
        <v>462</v>
      </c>
      <c r="F83" s="384" t="s">
        <v>463</v>
      </c>
      <c r="G83" s="385" t="s">
        <v>464</v>
      </c>
      <c r="H83" s="386" t="s">
        <v>465</v>
      </c>
      <c r="I83" s="246" t="s">
        <v>34</v>
      </c>
    </row>
    <row r="84" spans="1:9" x14ac:dyDescent="0.25">
      <c r="A84" s="242"/>
      <c r="C84" s="218" t="s">
        <v>52</v>
      </c>
      <c r="D84" s="252">
        <v>0.78172745527079313</v>
      </c>
      <c r="E84" s="224">
        <v>7.2735493230174073E-2</v>
      </c>
      <c r="F84" s="226">
        <v>4.9447014023210837E-4</v>
      </c>
      <c r="G84" s="226">
        <v>6.5267571324951648E-9</v>
      </c>
      <c r="H84" s="226">
        <v>2.8755195841392644E-4</v>
      </c>
      <c r="I84" s="264" t="s">
        <v>305</v>
      </c>
    </row>
    <row r="85" spans="1:9" x14ac:dyDescent="0.25">
      <c r="A85" s="242"/>
    </row>
    <row r="86" spans="1:9" x14ac:dyDescent="0.25">
      <c r="A86" s="242"/>
      <c r="C86" s="188" t="s">
        <v>102</v>
      </c>
    </row>
    <row r="87" spans="1:9" x14ac:dyDescent="0.25">
      <c r="A87" s="242"/>
      <c r="C87" s="267"/>
    </row>
    <row r="88" spans="1:9" ht="18" x14ac:dyDescent="0.35">
      <c r="A88" s="242"/>
      <c r="C88" s="236" t="s">
        <v>103</v>
      </c>
      <c r="D88" s="236" t="s">
        <v>101</v>
      </c>
      <c r="E88" s="237" t="s">
        <v>470</v>
      </c>
      <c r="F88" s="237" t="s">
        <v>453</v>
      </c>
      <c r="G88" s="236" t="s">
        <v>454</v>
      </c>
      <c r="H88" s="246" t="s">
        <v>455</v>
      </c>
      <c r="I88" s="246" t="s">
        <v>34</v>
      </c>
    </row>
    <row r="89" spans="1:9" x14ac:dyDescent="0.25">
      <c r="A89" s="242"/>
      <c r="C89" s="253" t="s">
        <v>104</v>
      </c>
      <c r="D89" s="223">
        <v>43.915594886363643</v>
      </c>
      <c r="E89" s="228">
        <v>2.5823886363636359</v>
      </c>
      <c r="F89" s="226">
        <v>1.161297727272727E-3</v>
      </c>
      <c r="G89" s="226">
        <v>1.8118909090909089E-13</v>
      </c>
      <c r="H89" s="226">
        <v>1.5010272727272727E-3</v>
      </c>
      <c r="I89" s="264" t="s">
        <v>345</v>
      </c>
    </row>
    <row r="90" spans="1:9" x14ac:dyDescent="0.25">
      <c r="A90" s="242"/>
      <c r="C90" s="253" t="s">
        <v>105</v>
      </c>
      <c r="D90" s="223">
        <v>50.810166265060246</v>
      </c>
      <c r="E90" s="228">
        <v>3.6586385542168678</v>
      </c>
      <c r="F90" s="226">
        <v>2.8143373493975899E-3</v>
      </c>
      <c r="G90" s="226">
        <v>6.1244771084337339E-13</v>
      </c>
      <c r="H90" s="226">
        <v>3.0993638554216866E-3</v>
      </c>
      <c r="I90" s="264" t="s">
        <v>346</v>
      </c>
    </row>
    <row r="91" spans="1:9" x14ac:dyDescent="0.25">
      <c r="A91" s="242"/>
      <c r="C91" s="253" t="s">
        <v>219</v>
      </c>
      <c r="D91" s="223">
        <v>22783.569285714289</v>
      </c>
      <c r="E91" s="228">
        <v>70.194185285714298</v>
      </c>
      <c r="F91" s="226">
        <v>1.8989457142857147</v>
      </c>
      <c r="G91" s="226">
        <v>1.9309242857142863E-10</v>
      </c>
      <c r="H91" s="226">
        <v>2.6164285714285715</v>
      </c>
      <c r="I91" s="264" t="s">
        <v>347</v>
      </c>
    </row>
    <row r="92" spans="1:9" x14ac:dyDescent="0.25">
      <c r="A92" s="242"/>
      <c r="C92" s="253" t="s">
        <v>220</v>
      </c>
      <c r="D92" s="223">
        <v>40002.352941176468</v>
      </c>
      <c r="E92" s="228">
        <v>138.8235294117647</v>
      </c>
      <c r="F92" s="226">
        <v>2.4164705882352946</v>
      </c>
      <c r="G92" s="226">
        <v>1.1676470588235295E-9</v>
      </c>
      <c r="H92" s="226">
        <v>3.3170588235294121</v>
      </c>
      <c r="I92" s="264" t="s">
        <v>348</v>
      </c>
    </row>
    <row r="93" spans="1:9" x14ac:dyDescent="0.25">
      <c r="A93" s="242"/>
      <c r="C93" s="253" t="s">
        <v>308</v>
      </c>
      <c r="D93" s="223">
        <v>149.13785714285714</v>
      </c>
      <c r="E93" s="228">
        <v>1.4894683333333334</v>
      </c>
      <c r="F93" s="226">
        <v>2.3839761904761905E-2</v>
      </c>
      <c r="G93" s="226">
        <v>2.7919047619047621E-12</v>
      </c>
      <c r="H93" s="226">
        <v>1.3480952380952382E-2</v>
      </c>
      <c r="I93" s="264" t="s">
        <v>350</v>
      </c>
    </row>
    <row r="94" spans="1:9" x14ac:dyDescent="0.25">
      <c r="A94" s="242"/>
      <c r="C94" s="253" t="s">
        <v>221</v>
      </c>
      <c r="D94" s="252">
        <v>4.5445569444444445E-2</v>
      </c>
      <c r="E94" s="224">
        <v>2.6334444444444443E-3</v>
      </c>
      <c r="F94" s="226">
        <v>1.4651619444444449E-5</v>
      </c>
      <c r="G94" s="226">
        <v>7.1155805555555555E-15</v>
      </c>
      <c r="H94" s="226">
        <v>6.1777305555555563E-6</v>
      </c>
      <c r="I94" s="264" t="s">
        <v>483</v>
      </c>
    </row>
    <row r="95" spans="1:9" x14ac:dyDescent="0.25">
      <c r="A95" s="242"/>
      <c r="E95" s="188"/>
    </row>
    <row r="96" spans="1:9" x14ac:dyDescent="0.25">
      <c r="A96" s="242"/>
      <c r="E96" s="188"/>
    </row>
    <row r="97" spans="1:10" s="193" customFormat="1" ht="6" customHeight="1" x14ac:dyDescent="0.25"/>
    <row r="98" spans="1:10" ht="18.75" x14ac:dyDescent="0.3">
      <c r="A98" s="254"/>
      <c r="B98" s="195" t="s">
        <v>96</v>
      </c>
      <c r="E98" s="188"/>
    </row>
    <row r="99" spans="1:10" ht="18.75" x14ac:dyDescent="0.3">
      <c r="A99" s="254"/>
      <c r="B99" s="195"/>
      <c r="C99" s="267"/>
      <c r="E99" s="188"/>
    </row>
    <row r="100" spans="1:10" ht="27.6" customHeight="1" x14ac:dyDescent="0.35">
      <c r="A100" s="254"/>
      <c r="C100" s="255" t="s">
        <v>475</v>
      </c>
      <c r="D100" s="255" t="s">
        <v>69</v>
      </c>
      <c r="E100" s="256" t="s">
        <v>471</v>
      </c>
      <c r="F100" s="256" t="s">
        <v>472</v>
      </c>
      <c r="G100" s="255" t="s">
        <v>473</v>
      </c>
      <c r="H100" s="257" t="s">
        <v>474</v>
      </c>
      <c r="I100" s="258" t="s">
        <v>34</v>
      </c>
    </row>
    <row r="101" spans="1:10" x14ac:dyDescent="0.25">
      <c r="A101" s="254"/>
      <c r="B101" s="259"/>
      <c r="C101" s="218" t="s">
        <v>31</v>
      </c>
      <c r="D101" s="260">
        <v>3.6399030419824695E-3</v>
      </c>
      <c r="E101" s="260">
        <v>6.3000000000000003E-4</v>
      </c>
      <c r="F101" s="226">
        <v>1.9738200000000002E-6</v>
      </c>
      <c r="G101" s="226">
        <v>9.6865200000000002E-12</v>
      </c>
      <c r="H101" s="226">
        <v>1.31334E-6</v>
      </c>
      <c r="I101" s="264" t="s">
        <v>311</v>
      </c>
    </row>
    <row r="102" spans="1:10" x14ac:dyDescent="0.25">
      <c r="A102" s="254"/>
      <c r="C102" s="218" t="s">
        <v>51</v>
      </c>
      <c r="D102" s="223">
        <v>46.366340252077819</v>
      </c>
      <c r="E102" s="223">
        <v>0.37891599999999998</v>
      </c>
      <c r="F102" s="226">
        <v>2.9497999999999998E-3</v>
      </c>
      <c r="G102" s="226">
        <v>6.1557853999999997E-10</v>
      </c>
      <c r="H102" s="226">
        <v>1.591E-3</v>
      </c>
      <c r="I102" s="264" t="s">
        <v>316</v>
      </c>
    </row>
    <row r="103" spans="1:10" x14ac:dyDescent="0.25">
      <c r="A103" s="254"/>
      <c r="C103" s="218" t="s">
        <v>91</v>
      </c>
      <c r="D103" s="390">
        <v>44.889293715646318</v>
      </c>
      <c r="E103" s="223">
        <v>0.39552075000000003</v>
      </c>
      <c r="F103" s="226">
        <v>3.6630000000000005E-3</v>
      </c>
      <c r="G103" s="226">
        <v>5.8025583000000006E-10</v>
      </c>
      <c r="H103" s="226">
        <v>1.590075E-3</v>
      </c>
      <c r="I103" s="264" t="s">
        <v>314</v>
      </c>
    </row>
    <row r="104" spans="1:10" x14ac:dyDescent="0.25">
      <c r="A104" s="254"/>
      <c r="D104" s="266"/>
      <c r="E104" s="266"/>
      <c r="F104" s="216"/>
      <c r="G104" s="216"/>
      <c r="H104" s="216"/>
      <c r="I104" s="216"/>
      <c r="J104" s="261"/>
    </row>
    <row r="105" spans="1:10" x14ac:dyDescent="0.25">
      <c r="A105" s="254"/>
    </row>
    <row r="106" spans="1:10" s="193" customFormat="1" ht="6" customHeight="1" x14ac:dyDescent="0.25"/>
    <row r="107" spans="1:10" ht="18.75" x14ac:dyDescent="0.3">
      <c r="A107" s="262"/>
      <c r="B107" s="195" t="s">
        <v>82</v>
      </c>
    </row>
    <row r="108" spans="1:10" x14ac:dyDescent="0.25">
      <c r="A108" s="262"/>
      <c r="B108" s="263">
        <v>1</v>
      </c>
      <c r="C108" s="263" t="s">
        <v>245</v>
      </c>
    </row>
    <row r="109" spans="1:10" x14ac:dyDescent="0.25">
      <c r="A109" s="262"/>
      <c r="C109" s="255" t="s">
        <v>65</v>
      </c>
      <c r="D109" s="255" t="s">
        <v>66</v>
      </c>
    </row>
    <row r="110" spans="1:10" x14ac:dyDescent="0.25">
      <c r="A110" s="262"/>
      <c r="C110" s="99" t="s">
        <v>132</v>
      </c>
      <c r="D110" s="100">
        <v>1</v>
      </c>
    </row>
    <row r="111" spans="1:10" x14ac:dyDescent="0.25">
      <c r="A111" s="262"/>
      <c r="C111" s="99" t="s">
        <v>61</v>
      </c>
      <c r="D111" s="100">
        <v>0.8</v>
      </c>
    </row>
    <row r="112" spans="1:10" x14ac:dyDescent="0.25">
      <c r="A112" s="262"/>
      <c r="C112" s="99" t="s">
        <v>62</v>
      </c>
      <c r="D112" s="101">
        <v>0.67</v>
      </c>
    </row>
    <row r="113" spans="1:4" x14ac:dyDescent="0.25">
      <c r="A113" s="262"/>
      <c r="C113" s="99" t="s">
        <v>63</v>
      </c>
      <c r="D113" s="101">
        <v>0.67</v>
      </c>
    </row>
    <row r="114" spans="1:4" x14ac:dyDescent="0.25">
      <c r="A114" s="262"/>
    </row>
  </sheetData>
  <sheetProtection algorithmName="SHA-512" hashValue="l+xVKkDqIi/w5AwnMKD/lOvrHAnXHj6AEg7HhYxz578atE5j3TdXK1ZJo+EiFNm5G/3iK4vEkHoA3lNjdYTR3A==" saltValue="rBruZl6ovgbknpcaT5l+WQ==" spinCount="100000" sheet="1" objects="1" scenarios="1"/>
  <pageMargins left="0.7" right="0.7" top="0.75" bottom="0.75" header="0.3" footer="0.3"/>
  <pageSetup paperSize="9" scale="32" fitToHeight="0" orientation="landscape" r:id="rId1"/>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1472-F4AB-4001-B710-DB4EDC74E80F}">
  <sheetPr codeName="Quelle">
    <tabColor rgb="FF7030A0"/>
  </sheetPr>
  <dimension ref="A4:D32"/>
  <sheetViews>
    <sheetView showGridLines="0" zoomScale="80" zoomScaleNormal="80" workbookViewId="0">
      <pane ySplit="4" topLeftCell="A5" activePane="bottomLeft" state="frozen"/>
      <selection activeCell="C25" sqref="C25:G25"/>
      <selection pane="bottomLeft" activeCell="C15" sqref="C15:D15"/>
    </sheetView>
  </sheetViews>
  <sheetFormatPr baseColWidth="10" defaultColWidth="11.42578125" defaultRowHeight="15" x14ac:dyDescent="0.25"/>
  <cols>
    <col min="1" max="1" width="2.42578125" customWidth="1"/>
    <col min="2" max="2" width="5.42578125" customWidth="1"/>
    <col min="3" max="3" width="135.42578125" customWidth="1"/>
    <col min="4" max="4" width="92.42578125" customWidth="1"/>
    <col min="5" max="8" width="89.42578125" customWidth="1"/>
  </cols>
  <sheetData>
    <row r="4" spans="1:4" s="5" customFormat="1" ht="15.75" thickBot="1" x14ac:dyDescent="0.3"/>
    <row r="5" spans="1:4" ht="23.25" x14ac:dyDescent="0.35">
      <c r="B5" s="7" t="s">
        <v>36</v>
      </c>
    </row>
    <row r="6" spans="1:4" ht="62.85" customHeight="1" x14ac:dyDescent="0.25">
      <c r="A6" s="9"/>
      <c r="B6" s="89" t="s">
        <v>37</v>
      </c>
      <c r="C6" s="427" t="s">
        <v>498</v>
      </c>
      <c r="D6" s="428"/>
    </row>
    <row r="7" spans="1:4" x14ac:dyDescent="0.25">
      <c r="A7" s="9"/>
      <c r="B7" s="89" t="s">
        <v>38</v>
      </c>
      <c r="C7" s="429" t="s">
        <v>353</v>
      </c>
      <c r="D7" s="429"/>
    </row>
    <row r="8" spans="1:4" ht="29.1" customHeight="1" x14ac:dyDescent="0.25">
      <c r="A8" s="9"/>
      <c r="B8" s="89" t="s">
        <v>39</v>
      </c>
      <c r="C8" s="430" t="s">
        <v>497</v>
      </c>
      <c r="D8" s="430"/>
    </row>
    <row r="9" spans="1:4" ht="32.450000000000003" customHeight="1" x14ac:dyDescent="0.25">
      <c r="A9" s="9"/>
      <c r="B9" s="89" t="s">
        <v>67</v>
      </c>
      <c r="C9" s="430" t="s">
        <v>496</v>
      </c>
      <c r="D9" s="430"/>
    </row>
    <row r="10" spans="1:4" ht="35.450000000000003" customHeight="1" x14ac:dyDescent="0.25">
      <c r="A10" s="9"/>
      <c r="B10" s="89" t="s">
        <v>71</v>
      </c>
      <c r="C10" s="431" t="s">
        <v>72</v>
      </c>
      <c r="D10" s="431"/>
    </row>
    <row r="11" spans="1:4" x14ac:dyDescent="0.25">
      <c r="A11" s="9"/>
      <c r="B11" s="89" t="s">
        <v>92</v>
      </c>
      <c r="C11" s="431" t="s">
        <v>93</v>
      </c>
      <c r="D11" s="431"/>
    </row>
    <row r="12" spans="1:4" x14ac:dyDescent="0.25">
      <c r="A12" s="9"/>
      <c r="B12" s="89" t="s">
        <v>303</v>
      </c>
      <c r="C12" s="431" t="s">
        <v>304</v>
      </c>
      <c r="D12" s="431"/>
    </row>
    <row r="13" spans="1:4" x14ac:dyDescent="0.25">
      <c r="A13" s="9"/>
      <c r="B13" s="89" t="s">
        <v>307</v>
      </c>
      <c r="C13" s="434" t="s">
        <v>351</v>
      </c>
      <c r="D13" s="435"/>
    </row>
    <row r="14" spans="1:4" ht="29.1" customHeight="1" x14ac:dyDescent="0.25">
      <c r="A14" s="9"/>
      <c r="B14" s="265" t="s">
        <v>311</v>
      </c>
      <c r="C14" s="432" t="s">
        <v>312</v>
      </c>
      <c r="D14" s="433"/>
    </row>
    <row r="15" spans="1:4" ht="28.35" customHeight="1" x14ac:dyDescent="0.25">
      <c r="A15" s="9"/>
      <c r="B15" s="89" t="s">
        <v>314</v>
      </c>
      <c r="C15" s="436" t="s">
        <v>313</v>
      </c>
      <c r="D15" s="437"/>
    </row>
    <row r="16" spans="1:4" ht="29.1" customHeight="1" x14ac:dyDescent="0.25">
      <c r="A16" s="9"/>
      <c r="B16" s="89" t="s">
        <v>316</v>
      </c>
      <c r="C16" s="432" t="s">
        <v>315</v>
      </c>
      <c r="D16" s="433"/>
    </row>
    <row r="17" spans="1:4" ht="29.1" customHeight="1" x14ac:dyDescent="0.25">
      <c r="A17" s="9"/>
      <c r="B17" s="89" t="s">
        <v>317</v>
      </c>
      <c r="C17" s="432" t="s">
        <v>323</v>
      </c>
      <c r="D17" s="433"/>
    </row>
    <row r="18" spans="1:4" x14ac:dyDescent="0.25">
      <c r="A18" s="9"/>
      <c r="B18" s="89" t="s">
        <v>321</v>
      </c>
      <c r="C18" s="432" t="s">
        <v>322</v>
      </c>
      <c r="D18" s="433"/>
    </row>
    <row r="19" spans="1:4" x14ac:dyDescent="0.25">
      <c r="A19" s="9"/>
      <c r="B19" s="89" t="s">
        <v>325</v>
      </c>
      <c r="C19" s="432" t="s">
        <v>324</v>
      </c>
      <c r="D19" s="433"/>
    </row>
    <row r="20" spans="1:4" x14ac:dyDescent="0.25">
      <c r="A20" s="9"/>
      <c r="B20" s="89" t="s">
        <v>327</v>
      </c>
      <c r="C20" s="432" t="s">
        <v>326</v>
      </c>
      <c r="D20" s="433"/>
    </row>
    <row r="21" spans="1:4" x14ac:dyDescent="0.25">
      <c r="A21" s="9"/>
      <c r="B21" s="89" t="s">
        <v>328</v>
      </c>
      <c r="C21" s="432" t="s">
        <v>329</v>
      </c>
      <c r="D21" s="433"/>
    </row>
    <row r="22" spans="1:4" x14ac:dyDescent="0.25">
      <c r="A22" s="9"/>
      <c r="B22" s="89" t="s">
        <v>330</v>
      </c>
      <c r="C22" s="432" t="s">
        <v>341</v>
      </c>
      <c r="D22" s="433"/>
    </row>
    <row r="23" spans="1:4" x14ac:dyDescent="0.25">
      <c r="A23" s="9"/>
      <c r="B23" s="89" t="s">
        <v>331</v>
      </c>
      <c r="C23" s="432" t="s">
        <v>342</v>
      </c>
      <c r="D23" s="433"/>
    </row>
    <row r="24" spans="1:4" x14ac:dyDescent="0.25">
      <c r="A24" s="9"/>
      <c r="B24" s="89" t="s">
        <v>332</v>
      </c>
      <c r="C24" s="432" t="s">
        <v>343</v>
      </c>
      <c r="D24" s="433"/>
    </row>
    <row r="25" spans="1:4" x14ac:dyDescent="0.25">
      <c r="A25" s="9"/>
      <c r="B25" s="89" t="s">
        <v>333</v>
      </c>
      <c r="C25" s="432" t="s">
        <v>344</v>
      </c>
      <c r="D25" s="433"/>
    </row>
    <row r="26" spans="1:4" ht="14.45" customHeight="1" x14ac:dyDescent="0.25">
      <c r="A26" s="9"/>
      <c r="B26" s="89" t="s">
        <v>334</v>
      </c>
      <c r="C26" s="432" t="s">
        <v>349</v>
      </c>
      <c r="D26" s="433"/>
    </row>
    <row r="27" spans="1:4" x14ac:dyDescent="0.25">
      <c r="A27" s="9"/>
      <c r="B27" s="89" t="s">
        <v>335</v>
      </c>
      <c r="C27" s="432" t="s">
        <v>352</v>
      </c>
      <c r="D27" s="433"/>
    </row>
    <row r="28" spans="1:4" x14ac:dyDescent="0.25">
      <c r="A28" s="9"/>
      <c r="B28" s="89" t="s">
        <v>336</v>
      </c>
      <c r="C28" s="432" t="s">
        <v>354</v>
      </c>
      <c r="D28" s="433"/>
    </row>
    <row r="29" spans="1:4" x14ac:dyDescent="0.25">
      <c r="A29" s="9"/>
      <c r="B29" s="89" t="s">
        <v>337</v>
      </c>
      <c r="C29" s="432" t="s">
        <v>402</v>
      </c>
      <c r="D29" s="433"/>
    </row>
    <row r="30" spans="1:4" x14ac:dyDescent="0.25">
      <c r="A30" s="9"/>
      <c r="B30" s="89" t="s">
        <v>338</v>
      </c>
      <c r="C30" s="432" t="s">
        <v>373</v>
      </c>
      <c r="D30" s="433"/>
    </row>
    <row r="31" spans="1:4" ht="29.1" customHeight="1" x14ac:dyDescent="0.25">
      <c r="A31" s="9"/>
      <c r="B31" s="89" t="s">
        <v>339</v>
      </c>
      <c r="C31" s="432" t="s">
        <v>374</v>
      </c>
      <c r="D31" s="433"/>
    </row>
    <row r="32" spans="1:4" ht="15.6" customHeight="1" x14ac:dyDescent="0.25">
      <c r="B32" s="89" t="s">
        <v>340</v>
      </c>
      <c r="C32" s="432" t="s">
        <v>375</v>
      </c>
      <c r="D32" s="433"/>
    </row>
  </sheetData>
  <mergeCells count="27">
    <mergeCell ref="C31:D31"/>
    <mergeCell ref="C32:D32"/>
    <mergeCell ref="C26:D26"/>
    <mergeCell ref="C27:D27"/>
    <mergeCell ref="C28:D28"/>
    <mergeCell ref="C29:D29"/>
    <mergeCell ref="C30:D30"/>
    <mergeCell ref="C23:D23"/>
    <mergeCell ref="C24:D24"/>
    <mergeCell ref="C25:D25"/>
    <mergeCell ref="C12:D12"/>
    <mergeCell ref="C11:D11"/>
    <mergeCell ref="C18:D18"/>
    <mergeCell ref="C19:D19"/>
    <mergeCell ref="C20:D20"/>
    <mergeCell ref="C21:D21"/>
    <mergeCell ref="C22:D22"/>
    <mergeCell ref="C13:D13"/>
    <mergeCell ref="C14:D14"/>
    <mergeCell ref="C15:D15"/>
    <mergeCell ref="C16:D16"/>
    <mergeCell ref="C17:D17"/>
    <mergeCell ref="C6:D6"/>
    <mergeCell ref="C7:D7"/>
    <mergeCell ref="C8:D8"/>
    <mergeCell ref="C9:D9"/>
    <mergeCell ref="C10:D10"/>
  </mergeCells>
  <hyperlinks>
    <hyperlink ref="C19" r:id="rId1" display="http://data.europa.eu/89h/jrc-eplca-09aa1e7b-1d7d-4a7c-8dde-ec6d40022fa1" xr:uid="{37242F49-5A1C-4188-940C-B91439F844DC}"/>
  </hyperlinks>
  <pageMargins left="0.7" right="0.7" top="0.78740157499999996" bottom="0.78740157499999996"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D285DFE80B5D448844A8A742EFE91F" ma:contentTypeVersion="4" ma:contentTypeDescription="Ein neues Dokument erstellen." ma:contentTypeScope="" ma:versionID="5ed322614f0a110257fff2d65762eae0">
  <xsd:schema xmlns:xsd="http://www.w3.org/2001/XMLSchema" xmlns:xs="http://www.w3.org/2001/XMLSchema" xmlns:p="http://schemas.microsoft.com/office/2006/metadata/properties" xmlns:ns2="b9495546-199b-42b8-bc1b-583a59d8f73d" targetNamespace="http://schemas.microsoft.com/office/2006/metadata/properties" ma:root="true" ma:fieldsID="a8a49840cd47d1f2ad0514399b8ea263" ns2:_="">
    <xsd:import namespace="b9495546-199b-42b8-bc1b-583a59d8f7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495546-199b-42b8-bc1b-583a59d8f7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3CEABA-1E89-41C0-AE2F-DD1B68F3ACE3}">
  <ds:schemaRefs>
    <ds:schemaRef ds:uri="http://purl.org/dc/terms/"/>
    <ds:schemaRef ds:uri="b9495546-199b-42b8-bc1b-583a59d8f73d"/>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3378E7-6F94-4B93-9D3A-A95749BF37BD}">
  <ds:schemaRefs>
    <ds:schemaRef ds:uri="http://schemas.microsoft.com/sharepoint/v3/contenttype/forms"/>
  </ds:schemaRefs>
</ds:datastoreItem>
</file>

<file path=customXml/itemProps3.xml><?xml version="1.0" encoding="utf-8"?>
<ds:datastoreItem xmlns:ds="http://schemas.openxmlformats.org/officeDocument/2006/customXml" ds:itemID="{ED813BA5-B7A9-4C66-B9DF-5F0785C09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495546-199b-42b8-bc1b-583a59d8f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133</vt:i4>
      </vt:variant>
    </vt:vector>
  </HeadingPairs>
  <TitlesOfParts>
    <vt:vector size="140" baseType="lpstr">
      <vt:lpstr>Deckblatt</vt:lpstr>
      <vt:lpstr>Einleitung</vt:lpstr>
      <vt:lpstr>Eingabe Untersuchungsrahmen</vt:lpstr>
      <vt:lpstr>Eingabe spezifische Daten</vt:lpstr>
      <vt:lpstr>Ergebnisse</vt:lpstr>
      <vt:lpstr>Emissionsfaktoren</vt:lpstr>
      <vt:lpstr>Quellen</vt:lpstr>
      <vt:lpstr>Allgemein_Info</vt:lpstr>
      <vt:lpstr>Auswahl_Betreuungsfaktor_Bundesautobahn</vt:lpstr>
      <vt:lpstr>Auswahl_Betreuungsfaktor_Bundesstraßen</vt:lpstr>
      <vt:lpstr>Auswahl_Betreuungsfaktor_Kreisstraßen</vt:lpstr>
      <vt:lpstr>Auswahl_Betreuungsfaktor_Landesstraßen</vt:lpstr>
      <vt:lpstr>Auswahl_Defaultwerte_Individual</vt:lpstr>
      <vt:lpstr>Auswahl_Kraftstoffe_Ausbringung</vt:lpstr>
      <vt:lpstr>Auswahl_Lkw_pkw</vt:lpstr>
      <vt:lpstr>Auswahl_Strom_ja_nein</vt:lpstr>
      <vt:lpstr>Auswahl_Wärme_ja_nein</vt:lpstr>
      <vt:lpstr>Berechnungsprinzip</vt:lpstr>
      <vt:lpstr>Betreuungsfaktor_Bundesautobahn</vt:lpstr>
      <vt:lpstr>Betreuungsfaktor_Bundesstraßen</vt:lpstr>
      <vt:lpstr>Betreuungsfaktor_Kreisstraßen</vt:lpstr>
      <vt:lpstr>Betreuungsfaktor_Landes_Staatsstraßen</vt:lpstr>
      <vt:lpstr>Bezugsgroeße</vt:lpstr>
      <vt:lpstr>Bilanzzeitraum</vt:lpstr>
      <vt:lpstr>Datenqualitaet</vt:lpstr>
      <vt:lpstr>Datenqualität_Erklärung</vt:lpstr>
      <vt:lpstr>Ergebnisse!Druckbereich</vt:lpstr>
      <vt:lpstr>Druckbereich</vt:lpstr>
      <vt:lpstr>EF_AP_CaCl2_Konz_Sole</vt:lpstr>
      <vt:lpstr>EF_AP_MgCl2_Konz_Sole</vt:lpstr>
      <vt:lpstr>EF_AP_NaCl_Konz_Sole</vt:lpstr>
      <vt:lpstr>EF_AP_Strom</vt:lpstr>
      <vt:lpstr>EF_AP_Waerme</vt:lpstr>
      <vt:lpstr>EF_AP_Wasser</vt:lpstr>
      <vt:lpstr>EF_GWP_CaCl2_Konz_Sole</vt:lpstr>
      <vt:lpstr>EF_GWP_MgCl2_Konz_Sole</vt:lpstr>
      <vt:lpstr>EF_GWP_NaCl_Konz_Sole</vt:lpstr>
      <vt:lpstr>EF_GWP_Strom</vt:lpstr>
      <vt:lpstr>EF_GWP_Waerme</vt:lpstr>
      <vt:lpstr>EF_GWP_Wasser</vt:lpstr>
      <vt:lpstr>EF_KEA_CaCl2_Konz_Sole</vt:lpstr>
      <vt:lpstr>EF_KEA_MgCl2_Konz_Sole</vt:lpstr>
      <vt:lpstr>EF_KEA_NaCl_Konz_Sole</vt:lpstr>
      <vt:lpstr>EF_KEA_Strom</vt:lpstr>
      <vt:lpstr>EF_KEA_Waerme</vt:lpstr>
      <vt:lpstr>EF_KEA_Wasser</vt:lpstr>
      <vt:lpstr>EF_ODP_CaCl2_Konz_Sole</vt:lpstr>
      <vt:lpstr>EF_ODP_MgCl2_Konz_Sole</vt:lpstr>
      <vt:lpstr>EF_ODP_NaCl_Konz_Sole</vt:lpstr>
      <vt:lpstr>EF_ODP_Strom</vt:lpstr>
      <vt:lpstr>EF_ODP_Waerme</vt:lpstr>
      <vt:lpstr>EF_ODP_Wasser</vt:lpstr>
      <vt:lpstr>EF_POCP_CaCl2_Konz_Sole</vt:lpstr>
      <vt:lpstr>EF_POCP_MgCl2_Konz_Sole</vt:lpstr>
      <vt:lpstr>EF_POCP_NaCl_Konz_Sole</vt:lpstr>
      <vt:lpstr>EF_POCP_Strom</vt:lpstr>
      <vt:lpstr>EF_POCP_Waerme</vt:lpstr>
      <vt:lpstr>EF_POCP_Wasser</vt:lpstr>
      <vt:lpstr>Ein_ausblend_Waerme_EigenE</vt:lpstr>
      <vt:lpstr>Eingabe_Beladung_Dieselverbrauch</vt:lpstr>
      <vt:lpstr>Eingabe_für_eigene_Stromerzeugung</vt:lpstr>
      <vt:lpstr>Eingabe_für_eigene_Wärmebereitstellung</vt:lpstr>
      <vt:lpstr>Eingabe_Leitungswasser</vt:lpstr>
      <vt:lpstr>Eingabe_Oel</vt:lpstr>
      <vt:lpstr>Eingabe_Regenwasser</vt:lpstr>
      <vt:lpstr>Eingabe_Strom_stromnetz</vt:lpstr>
      <vt:lpstr>Eingabe_Waermemix</vt:lpstr>
      <vt:lpstr>Ergebnis_eigene_Stromerzeugung</vt:lpstr>
      <vt:lpstr>Ergebnis_eigene_Stromerzeugung_Prozent</vt:lpstr>
      <vt:lpstr>Ergebnis_eigene_Wärmeerzeugung</vt:lpstr>
      <vt:lpstr>Ergebnis_eigene_Wärmeerzeugung_Prozent</vt:lpstr>
      <vt:lpstr>Ergebnis_WD_Info_Besonderheiten_Verkehr</vt:lpstr>
      <vt:lpstr>Ergebnis_WD_Info_Besonderheiten_WD</vt:lpstr>
      <vt:lpstr>Ergebnis_WD_Info_Eis</vt:lpstr>
      <vt:lpstr>Ergebnis_WD_Info_P_K_Maßnahmen</vt:lpstr>
      <vt:lpstr>Ergebnis_WD_Info_Salz</vt:lpstr>
      <vt:lpstr>Ergebnis_WD_Info_Schnee</vt:lpstr>
      <vt:lpstr>Ergebnis_WD_Info_Technik</vt:lpstr>
      <vt:lpstr>Ergebnis_WD_Info_Wetter</vt:lpstr>
      <vt:lpstr>FU_bSF</vt:lpstr>
      <vt:lpstr>Konzentration_CaCl2_konz_Fremdsole</vt:lpstr>
      <vt:lpstr>Konzentration_MgCl2_konz_Fremdsole</vt:lpstr>
      <vt:lpstr>Konzentration_NaCl_konz_Fremdsole</vt:lpstr>
      <vt:lpstr>Legende</vt:lpstr>
      <vt:lpstr>Result_AP_Antransport</vt:lpstr>
      <vt:lpstr>Result_AP_Sole_Herstellung</vt:lpstr>
      <vt:lpstr>Result_AP_Trockensalz_Herstellung</vt:lpstr>
      <vt:lpstr>Result_AP_Waerme_EigenE</vt:lpstr>
      <vt:lpstr>Result_Ausbringung_AP</vt:lpstr>
      <vt:lpstr>Result_Ausbringung_GWP</vt:lpstr>
      <vt:lpstr>Result_Ausbringung_KEA</vt:lpstr>
      <vt:lpstr>Result_Ausbringung_ODP</vt:lpstr>
      <vt:lpstr>Result_Ausbringung_POCP</vt:lpstr>
      <vt:lpstr>Result_GWP_Antransport</vt:lpstr>
      <vt:lpstr>Result_GWP_Sole_Herstellung</vt:lpstr>
      <vt:lpstr>Result_GWP_Trockensalz_Herstellung</vt:lpstr>
      <vt:lpstr>Result_GWP_Waerme_EigenE</vt:lpstr>
      <vt:lpstr>Result_KEA_Antransport</vt:lpstr>
      <vt:lpstr>Result_KEA_Sole_Herstellung</vt:lpstr>
      <vt:lpstr>Result_KEA_Trockensalz_Herstellung</vt:lpstr>
      <vt:lpstr>Result_KEA_Waerme_EigenE</vt:lpstr>
      <vt:lpstr>Result_ODP_Antransport</vt:lpstr>
      <vt:lpstr>Result_ODP_Sole_Herstellung</vt:lpstr>
      <vt:lpstr>Result_ODP_Trockensalz_Herstellung</vt:lpstr>
      <vt:lpstr>Result_ODP_Waerme_EigenE</vt:lpstr>
      <vt:lpstr>Result_POCP_Antransport</vt:lpstr>
      <vt:lpstr>Result_POCP_Sole_Herstellung</vt:lpstr>
      <vt:lpstr>Result_POCP_Trockensalz_Herstellung</vt:lpstr>
      <vt:lpstr>Result_POCP_Waerme_EigenE</vt:lpstr>
      <vt:lpstr>ScrollToAbbildung</vt:lpstr>
      <vt:lpstr>ScrollToAntransport</vt:lpstr>
      <vt:lpstr>ScrollToAusbringungen</vt:lpstr>
      <vt:lpstr>ScrollToBeitrag</vt:lpstr>
      <vt:lpstr>ScrollToEnergie</vt:lpstr>
      <vt:lpstr>ScrollToGesamtErgebnis</vt:lpstr>
      <vt:lpstr>ScrollToKraftstoffe</vt:lpstr>
      <vt:lpstr>scrollToProzesseInMeisterei</vt:lpstr>
      <vt:lpstr>ScrollToReport</vt:lpstr>
      <vt:lpstr>ScrollToSonstig</vt:lpstr>
      <vt:lpstr>ScrollToStreumittelHerstellung</vt:lpstr>
      <vt:lpstr>ScrollToStreumittelTransport</vt:lpstr>
      <vt:lpstr>ScrollToWasser</vt:lpstr>
      <vt:lpstr>Struktur</vt:lpstr>
      <vt:lpstr>Systemgrenze</vt:lpstr>
      <vt:lpstr>Transportmittel_AntransportStreumittel</vt:lpstr>
      <vt:lpstr>Umweltauswirkungen</vt:lpstr>
      <vt:lpstr>WD_Info</vt:lpstr>
      <vt:lpstr>WD_Info_Besonderheiten_Verkehr</vt:lpstr>
      <vt:lpstr>WD_Info_Besonderheiten_WD</vt:lpstr>
      <vt:lpstr>WD_Info_Eis</vt:lpstr>
      <vt:lpstr>WD_Info_Glatt</vt:lpstr>
      <vt:lpstr>WD_info_interne_Transport_Umschlag</vt:lpstr>
      <vt:lpstr>WD_Info_P_K_Maßnahmen</vt:lpstr>
      <vt:lpstr>WD_Info_Salz</vt:lpstr>
      <vt:lpstr>WD_Info_Schnee</vt:lpstr>
      <vt:lpstr>WD_Info_Technik</vt:lpstr>
      <vt:lpstr>WD_Info_Wetter</vt:lpstr>
      <vt:lpstr>Ziel</vt:lpstr>
      <vt:lpstr>Zielgruppe</vt:lpstr>
      <vt:lpstr>Zustand_Fremdsole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 Liu</dc:creator>
  <cp:keywords/>
  <dc:description/>
  <cp:lastModifiedBy>Fischer, Petra</cp:lastModifiedBy>
  <cp:revision/>
  <cp:lastPrinted>2023-12-01T09:42:06Z</cp:lastPrinted>
  <dcterms:created xsi:type="dcterms:W3CDTF">2022-09-16T07:15:55Z</dcterms:created>
  <dcterms:modified xsi:type="dcterms:W3CDTF">2025-07-24T10:15:56Z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0x010100D5D285DFE80B5D448844A8A742EFE91F</vt:lpwstr>
  </property>
</Properties>
</file>